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05" firstSheet="1" activeTab="1"/>
  </bookViews>
  <sheets>
    <sheet name="注意" sheetId="1" state="hidden" r:id="rId1"/>
    <sheet name="登録DATA" sheetId="2" r:id="rId2"/>
    <sheet name="入力" sheetId="3" r:id="rId3"/>
    <sheet name="男子種目コード" sheetId="4" state="hidden" r:id="rId4"/>
    <sheet name="女子種目コード" sheetId="5" state="hidden" r:id="rId5"/>
  </sheets>
  <definedNames>
    <definedName name="_xlnm.Print_Area" localSheetId="2">'入力'!$B$1:$AG$116</definedName>
    <definedName name="_xlnm.Print_Titles" localSheetId="2">'入力'!$6:$6</definedName>
  </definedNames>
  <calcPr fullCalcOnLoad="1"/>
</workbook>
</file>

<file path=xl/sharedStrings.xml><?xml version="1.0" encoding="utf-8"?>
<sst xmlns="http://schemas.openxmlformats.org/spreadsheetml/2006/main" count="330" uniqueCount="279">
  <si>
    <t>所属コード</t>
  </si>
  <si>
    <t>学年</t>
  </si>
  <si>
    <t>カナ名</t>
  </si>
  <si>
    <t>性別</t>
  </si>
  <si>
    <t>ナンバー</t>
  </si>
  <si>
    <t>競技者コード</t>
  </si>
  <si>
    <t>掲示板名</t>
  </si>
  <si>
    <t>年齢</t>
  </si>
  <si>
    <t>飯高西</t>
  </si>
  <si>
    <t>飯高東</t>
  </si>
  <si>
    <t>砲丸投</t>
  </si>
  <si>
    <t>NO</t>
  </si>
  <si>
    <t>コード</t>
  </si>
  <si>
    <t>A</t>
  </si>
  <si>
    <t>B</t>
  </si>
  <si>
    <t>C</t>
  </si>
  <si>
    <t>記録</t>
  </si>
  <si>
    <t>記録</t>
  </si>
  <si>
    <t>生年月日</t>
  </si>
  <si>
    <t>男子</t>
  </si>
  <si>
    <t>女子</t>
  </si>
  <si>
    <t>松阪東部</t>
  </si>
  <si>
    <t>松阪中部</t>
  </si>
  <si>
    <t>松阪西</t>
  </si>
  <si>
    <t>リレー記録記載欄</t>
  </si>
  <si>
    <t>4×100mＲ</t>
  </si>
  <si>
    <t>オーダー</t>
  </si>
  <si>
    <t>男子A</t>
  </si>
  <si>
    <t>男子B</t>
  </si>
  <si>
    <t>男子C</t>
  </si>
  <si>
    <t>女子A</t>
  </si>
  <si>
    <t>女子B</t>
  </si>
  <si>
    <t>4×100Ｒ</t>
  </si>
  <si>
    <t>顧問連絡先</t>
  </si>
  <si>
    <t>種目別人数</t>
  </si>
  <si>
    <t>走幅跳</t>
  </si>
  <si>
    <t>大会参加費</t>
  </si>
  <si>
    <t>計</t>
  </si>
  <si>
    <t>顧問名</t>
  </si>
  <si>
    <t>所属名</t>
  </si>
  <si>
    <t>所属コード</t>
  </si>
  <si>
    <t>種目数</t>
  </si>
  <si>
    <t>松阪地区中学生記録会</t>
  </si>
  <si>
    <t>種目1</t>
  </si>
  <si>
    <t>種目2</t>
  </si>
  <si>
    <t>110H</t>
  </si>
  <si>
    <t>110H</t>
  </si>
  <si>
    <t>走高跳</t>
  </si>
  <si>
    <t>100H</t>
  </si>
  <si>
    <t>100H</t>
  </si>
  <si>
    <t>走高跳</t>
  </si>
  <si>
    <t>1500</t>
  </si>
  <si>
    <t>1500</t>
  </si>
  <si>
    <t>3000</t>
  </si>
  <si>
    <t>110H</t>
  </si>
  <si>
    <t>走幅跳</t>
  </si>
  <si>
    <t>走幅跳</t>
  </si>
  <si>
    <t>女子C</t>
  </si>
  <si>
    <t>エクセル2002以前のバージョンでは動作しません。エクセル2002以降のパソコンで作業して下さい</t>
  </si>
  <si>
    <t>マクロが無効になっています。</t>
  </si>
  <si>
    <t>最新バージョンのエクセル(2007）使用の場合は、シートの上部にセキュリティの警告が出ますので</t>
  </si>
  <si>
    <t>右側のオプションをクリックし、「このコンテンツを有効にする」にチェックを入れて下さい。</t>
  </si>
  <si>
    <t>それ以前のエクセルは下記に従って下さい。</t>
  </si>
  <si>
    <t>入力を行うには，マクロを有効にする必要があります。</t>
  </si>
  <si>
    <t>マクロを有効にしてファイルを開いてください。</t>
  </si>
  <si>
    <t>マクロを有効にするには，</t>
  </si>
  <si>
    <t>１）上部メニューを「ツール(T)→マクロ(M)→セキュリティ(S)」の順に開きます。</t>
  </si>
  <si>
    <t>２）「セキュリティレベル」を「中」に設定してください。</t>
  </si>
  <si>
    <r>
      <t>３）</t>
    </r>
    <r>
      <rPr>
        <sz val="12"/>
        <color indexed="12"/>
        <rFont val="ＭＳ 明朝"/>
        <family val="1"/>
      </rPr>
      <t>EXCELをいったん終了</t>
    </r>
    <r>
      <rPr>
        <b/>
        <sz val="12"/>
        <color indexed="10"/>
        <rFont val="ＭＳ 明朝"/>
        <family val="1"/>
      </rPr>
      <t>（ファイルを保存しない）</t>
    </r>
    <r>
      <rPr>
        <sz val="12"/>
        <rFont val="ＭＳ 明朝"/>
        <family val="1"/>
      </rPr>
      <t>し，再度ファイルを開きます。</t>
    </r>
  </si>
  <si>
    <t>４）マクロを有効にするかどうか聞いてきます。ここで「マクロを有効にする」を選択します。</t>
  </si>
  <si>
    <t>何らかの原因でマクロが停止した場合は，いったんファイルを保存し，再度開き直してください。</t>
  </si>
  <si>
    <t>審判協力者名</t>
  </si>
  <si>
    <t>補助員数</t>
  </si>
  <si>
    <t>性別</t>
  </si>
  <si>
    <t>必ず入力のこと</t>
  </si>
  <si>
    <t>中学記録会</t>
  </si>
  <si>
    <t>名前</t>
  </si>
  <si>
    <t>嬉野</t>
  </si>
  <si>
    <t>三雲</t>
  </si>
  <si>
    <t>殿町</t>
  </si>
  <si>
    <t>鎌田</t>
  </si>
  <si>
    <t>久保</t>
  </si>
  <si>
    <t>大江</t>
  </si>
  <si>
    <t>三重</t>
  </si>
  <si>
    <t>飯南</t>
  </si>
  <si>
    <t>多気</t>
  </si>
  <si>
    <t>明和</t>
  </si>
  <si>
    <t>協和</t>
  </si>
  <si>
    <t>大台</t>
  </si>
  <si>
    <t>勢和</t>
  </si>
  <si>
    <t>成徳</t>
  </si>
  <si>
    <t>明正</t>
  </si>
  <si>
    <t>光風</t>
  </si>
  <si>
    <t>陽和</t>
  </si>
  <si>
    <t>正和</t>
  </si>
  <si>
    <t>陵成</t>
  </si>
  <si>
    <t>光陵</t>
  </si>
  <si>
    <t>多度</t>
  </si>
  <si>
    <t>長島</t>
  </si>
  <si>
    <t>津田学園</t>
  </si>
  <si>
    <t>木曽岬</t>
  </si>
  <si>
    <t>北勢</t>
  </si>
  <si>
    <t>員弁</t>
  </si>
  <si>
    <t>大安</t>
  </si>
  <si>
    <t>東員第一</t>
  </si>
  <si>
    <t>東員第二</t>
  </si>
  <si>
    <t>藤原</t>
  </si>
  <si>
    <t>中部</t>
  </si>
  <si>
    <t>港</t>
  </si>
  <si>
    <t>塩浜</t>
  </si>
  <si>
    <t>山手</t>
  </si>
  <si>
    <t>富洲原</t>
  </si>
  <si>
    <t>富田</t>
  </si>
  <si>
    <t>笹川</t>
  </si>
  <si>
    <t>四日市南</t>
  </si>
  <si>
    <t>西陵</t>
  </si>
  <si>
    <t>三滝</t>
  </si>
  <si>
    <t>大池</t>
  </si>
  <si>
    <t>朝明</t>
  </si>
  <si>
    <t>保々</t>
  </si>
  <si>
    <t>西笹川</t>
  </si>
  <si>
    <t>三重平</t>
  </si>
  <si>
    <t>羽津</t>
  </si>
  <si>
    <t>西朝明</t>
  </si>
  <si>
    <t>桜</t>
  </si>
  <si>
    <t>内部</t>
  </si>
  <si>
    <t>暁</t>
  </si>
  <si>
    <t>海星</t>
  </si>
  <si>
    <t>ﾒﾘﾉｰﾙ</t>
  </si>
  <si>
    <t>菰野</t>
  </si>
  <si>
    <t>八風</t>
  </si>
  <si>
    <t>楠</t>
  </si>
  <si>
    <t>朝日</t>
  </si>
  <si>
    <t>川越</t>
  </si>
  <si>
    <t>平田野</t>
  </si>
  <si>
    <t>白鳥</t>
  </si>
  <si>
    <t>神戸</t>
  </si>
  <si>
    <t>大木</t>
  </si>
  <si>
    <t>千代崎</t>
  </si>
  <si>
    <t>白子</t>
  </si>
  <si>
    <t>天栄</t>
  </si>
  <si>
    <t>鈴峰</t>
  </si>
  <si>
    <t>鼓ヶ浦</t>
  </si>
  <si>
    <t>創徳</t>
  </si>
  <si>
    <t>鈴鹿</t>
  </si>
  <si>
    <t>亀山</t>
  </si>
  <si>
    <t>亀山中部</t>
  </si>
  <si>
    <t>関</t>
  </si>
  <si>
    <t>橋北</t>
  </si>
  <si>
    <t>東橋内</t>
  </si>
  <si>
    <t>西橋内</t>
  </si>
  <si>
    <t>橋南</t>
  </si>
  <si>
    <t>南郊</t>
  </si>
  <si>
    <t>西郊</t>
  </si>
  <si>
    <t>一身田</t>
  </si>
  <si>
    <t>南が丘</t>
  </si>
  <si>
    <t>高田</t>
  </si>
  <si>
    <t>豊里</t>
  </si>
  <si>
    <t>朝陽</t>
  </si>
  <si>
    <t>芸濃</t>
  </si>
  <si>
    <t>美里</t>
  </si>
  <si>
    <t>東観</t>
  </si>
  <si>
    <t>久居</t>
  </si>
  <si>
    <t>久居西</t>
  </si>
  <si>
    <t>久居東</t>
  </si>
  <si>
    <t>香海</t>
  </si>
  <si>
    <t>一志</t>
  </si>
  <si>
    <t>白山</t>
  </si>
  <si>
    <t>美杉</t>
  </si>
  <si>
    <t>多気宮川</t>
  </si>
  <si>
    <t>倉田山</t>
  </si>
  <si>
    <t>厚生</t>
  </si>
  <si>
    <t>伊勢宮川</t>
  </si>
  <si>
    <t>豊浜</t>
  </si>
  <si>
    <t>北浜</t>
  </si>
  <si>
    <t>沼木</t>
  </si>
  <si>
    <t>城田</t>
  </si>
  <si>
    <t>五十鈴</t>
  </si>
  <si>
    <t>皇學館</t>
  </si>
  <si>
    <t>二見</t>
  </si>
  <si>
    <t>御薗</t>
  </si>
  <si>
    <t>小俣</t>
  </si>
  <si>
    <t>玉城</t>
  </si>
  <si>
    <t>大宮</t>
  </si>
  <si>
    <t>南島</t>
  </si>
  <si>
    <t>南島西</t>
  </si>
  <si>
    <t>度会</t>
  </si>
  <si>
    <t>鳥羽東</t>
  </si>
  <si>
    <t>答志</t>
  </si>
  <si>
    <t>神島</t>
  </si>
  <si>
    <t>加茂</t>
  </si>
  <si>
    <t>鏡浦</t>
  </si>
  <si>
    <t>長岡</t>
  </si>
  <si>
    <t>浜島</t>
  </si>
  <si>
    <t>波切</t>
  </si>
  <si>
    <t>船越</t>
  </si>
  <si>
    <t>片田</t>
  </si>
  <si>
    <t>和具</t>
  </si>
  <si>
    <t>越賀</t>
  </si>
  <si>
    <t>文岡</t>
  </si>
  <si>
    <t>東海</t>
  </si>
  <si>
    <t>安乗</t>
  </si>
  <si>
    <t>磯部</t>
  </si>
  <si>
    <t>的矢</t>
  </si>
  <si>
    <t>崇広</t>
  </si>
  <si>
    <t>緑ヶ丘</t>
  </si>
  <si>
    <t>成和</t>
  </si>
  <si>
    <t>丸山</t>
  </si>
  <si>
    <t>日生付属</t>
  </si>
  <si>
    <t>名張</t>
  </si>
  <si>
    <t>赤目</t>
  </si>
  <si>
    <t>桔梗が丘</t>
  </si>
  <si>
    <t>名張北</t>
  </si>
  <si>
    <t>青山</t>
  </si>
  <si>
    <t>柘植</t>
  </si>
  <si>
    <t>霊峰</t>
  </si>
  <si>
    <t>島ヶ原</t>
  </si>
  <si>
    <t>阿山</t>
  </si>
  <si>
    <t>大山田</t>
  </si>
  <si>
    <t>尾鷲</t>
  </si>
  <si>
    <t>九鬼</t>
  </si>
  <si>
    <t>北輪内</t>
  </si>
  <si>
    <t>輪内</t>
  </si>
  <si>
    <t>紀北</t>
  </si>
  <si>
    <t>赤羽</t>
  </si>
  <si>
    <t>潮南</t>
  </si>
  <si>
    <t>三船</t>
  </si>
  <si>
    <t>荒坂</t>
  </si>
  <si>
    <t>新鹿</t>
  </si>
  <si>
    <t>木本</t>
  </si>
  <si>
    <t>有馬</t>
  </si>
  <si>
    <t>育生</t>
  </si>
  <si>
    <t>神上</t>
  </si>
  <si>
    <t>五郷</t>
  </si>
  <si>
    <t>飛鳥</t>
  </si>
  <si>
    <t>御浜</t>
  </si>
  <si>
    <t>阿田和</t>
  </si>
  <si>
    <t>尾呂志学園</t>
  </si>
  <si>
    <t>相野谷</t>
  </si>
  <si>
    <t>入鹿</t>
  </si>
  <si>
    <t>矢渕</t>
  </si>
  <si>
    <t>常盤</t>
  </si>
  <si>
    <t>一身田国児</t>
  </si>
  <si>
    <t>セントヨゼフ</t>
  </si>
  <si>
    <t>三重大附属</t>
  </si>
  <si>
    <t>伊勢港</t>
  </si>
  <si>
    <t>大紀</t>
  </si>
  <si>
    <t>南勢</t>
  </si>
  <si>
    <t>城東</t>
  </si>
  <si>
    <t>名張南</t>
  </si>
  <si>
    <t>1500</t>
  </si>
  <si>
    <t>800</t>
  </si>
  <si>
    <t>棒高跳</t>
  </si>
  <si>
    <t>選択して下さい</t>
  </si>
  <si>
    <t>所属コードB</t>
  </si>
  <si>
    <t>番号</t>
  </si>
  <si>
    <t>登録月日</t>
  </si>
  <si>
    <t>学校コード</t>
  </si>
  <si>
    <t>登録番号</t>
  </si>
  <si>
    <t>登録の種類</t>
  </si>
  <si>
    <t>氏名</t>
  </si>
  <si>
    <t>フリガナ</t>
  </si>
  <si>
    <t>学年</t>
  </si>
  <si>
    <t>生年月日</t>
  </si>
  <si>
    <t>(○／○○）</t>
  </si>
  <si>
    <t>選手番号</t>
  </si>
  <si>
    <t>（姓と名の間は全角１文字スペース）</t>
  </si>
  <si>
    <t>（全角カタカナで入力、姓と名の間は全角１文字スペース）</t>
  </si>
  <si>
    <t>年（西暦）</t>
  </si>
  <si>
    <t>月</t>
  </si>
  <si>
    <t>日</t>
  </si>
  <si>
    <t>棒高跳</t>
  </si>
  <si>
    <t>棒高跳</t>
  </si>
  <si>
    <t>登録DATAを貼り付ければ反映します</t>
  </si>
  <si>
    <t>直接入力もできます</t>
  </si>
  <si>
    <t>*</t>
  </si>
  <si>
    <t>陸連ID</t>
  </si>
  <si>
    <t>三段跳</t>
  </si>
  <si>
    <t>三段跳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</si>
</sst>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_ "/>
    <numFmt numFmtId="179" formatCode="0.000_);[Red]\(0.000\)"/>
    <numFmt numFmtId="180" formatCode="0_);[Red]\(0\)"/>
    <numFmt numFmtId="181" formatCode="0.00_ "/>
    <numFmt numFmtId="182" formatCode="00&quot;″&quot;00"/>
    <numFmt numFmtId="183" formatCode="00&quot;″&quot;000"/>
    <numFmt numFmtId="184" formatCode="00&quot;′&quot;00&quot;″&quot;00"/>
    <numFmt numFmtId="185" formatCode="0&quot;′&quot;00&quot;″&quot;00"/>
    <numFmt numFmtId="186" formatCode="##&quot;m&quot;##"/>
    <numFmt numFmtId="187" formatCode="##&quot;″&quot;##"/>
    <numFmt numFmtId="188" formatCode="##&quot;′&quot;##&quot;″&quot;"/>
    <numFmt numFmtId="189" formatCode="#&quot;′&quot;##&quot;″&quot;"/>
    <numFmt numFmtId="190" formatCode="##&quot;′&quot;##&quot;″&quot;##"/>
    <numFmt numFmtId="191" formatCode="0;[Red]0"/>
    <numFmt numFmtId="192" formatCode="m/d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h&quot;°&quot;mm&quot;’'&quot;ss&quot;”&quot;\t\t&quot;&quot;"/>
    <numFmt numFmtId="198" formatCode="[&gt;=100]#0&quot;:&quot;00.00;#0.00"/>
    <numFmt numFmtId="199" formatCode="#0.00"/>
    <numFmt numFmtId="200" formatCode="#,##0\ &quot;円&quot;"/>
    <numFmt numFmtId="201" formatCode="0&quot;月&quot;"/>
    <numFmt numFmtId="202" formatCode="#0&quot;日&quot;"/>
    <numFmt numFmtId="203" formatCode="#0&quot;円&quot;"/>
    <numFmt numFmtId="204" formatCode="#,##0&quot;円&quot;"/>
    <numFmt numFmtId="205" formatCode="##&quot;人&quot;"/>
    <numFmt numFmtId="206" formatCode="##&quot;種目&quot;"/>
    <numFmt numFmtId="207" formatCode="#\ &quot;月&quot;"/>
    <numFmt numFmtId="208" formatCode="#\ &quot;日&quot;"/>
    <numFmt numFmtId="209" formatCode="&quot;人&quot;"/>
    <numFmt numFmtId="210" formatCode="&quot;計&quot;##&quot;人&quot;"/>
    <numFmt numFmtId="211" formatCode="###&quot;人&quot;"/>
    <numFmt numFmtId="212" formatCode="##&quot;チーム&quot;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11"/>
      <color indexed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2"/>
      <color indexed="10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2"/>
      <color indexed="12"/>
      <name val="ＭＳ 明朝"/>
      <family val="1"/>
    </font>
    <font>
      <b/>
      <sz val="12"/>
      <color indexed="10"/>
      <name val="ＭＳ 明朝"/>
      <family val="1"/>
    </font>
    <font>
      <sz val="12"/>
      <color indexed="16"/>
      <name val="ＭＳ 明朝"/>
      <family val="1"/>
    </font>
    <font>
      <sz val="10"/>
      <color indexed="16"/>
      <name val="ＭＳ 明朝"/>
      <family val="1"/>
    </font>
    <font>
      <sz val="9"/>
      <color indexed="16"/>
      <name val="ＭＳ 明朝"/>
      <family val="1"/>
    </font>
    <font>
      <sz val="8"/>
      <color indexed="16"/>
      <name val="ＭＳ 明朝"/>
      <family val="1"/>
    </font>
    <font>
      <sz val="10"/>
      <color indexed="12"/>
      <name val="ＭＳ 明朝"/>
      <family val="1"/>
    </font>
    <font>
      <sz val="11"/>
      <color indexed="16"/>
      <name val="ＭＳ 明朝"/>
      <family val="1"/>
    </font>
    <font>
      <sz val="11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name val="MS UI Gothic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6"/>
      </left>
      <right style="dotted">
        <color indexed="16"/>
      </right>
      <top style="thin">
        <color indexed="16"/>
      </top>
      <bottom>
        <color indexed="63"/>
      </bottom>
    </border>
    <border>
      <left style="dotted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1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4" fillId="0" borderId="0" xfId="62" applyFo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2" applyNumberFormat="1" applyFont="1" applyProtection="1">
      <alignment/>
      <protection hidden="1"/>
    </xf>
    <xf numFmtId="0" fontId="5" fillId="0" borderId="0" xfId="62" applyFont="1" applyAlignment="1" applyProtection="1">
      <alignment horizontal="left" vertical="center" shrinkToFit="1"/>
      <protection hidden="1"/>
    </xf>
    <xf numFmtId="0" fontId="5" fillId="0" borderId="0" xfId="62" applyFont="1" applyAlignment="1" applyProtection="1">
      <alignment horizontal="center" vertical="center" shrinkToFit="1"/>
      <protection hidden="1"/>
    </xf>
    <xf numFmtId="49" fontId="5" fillId="0" borderId="0" xfId="62" applyNumberFormat="1" applyFont="1" applyAlignment="1" applyProtection="1">
      <alignment horizontal="right"/>
      <protection hidden="1" locked="0"/>
    </xf>
    <xf numFmtId="49" fontId="5" fillId="0" borderId="0" xfId="62" applyNumberFormat="1" applyFont="1" applyFill="1" applyAlignment="1" applyProtection="1">
      <alignment shrinkToFit="1"/>
      <protection hidden="1" locked="0"/>
    </xf>
    <xf numFmtId="0" fontId="5" fillId="0" borderId="0" xfId="62" applyFont="1" applyProtection="1">
      <alignment/>
      <protection hidden="1"/>
    </xf>
    <xf numFmtId="0" fontId="0" fillId="0" borderId="10" xfId="0" applyNumberFormat="1" applyBorder="1" applyAlignment="1">
      <alignment vertical="center"/>
    </xf>
    <xf numFmtId="0" fontId="5" fillId="33" borderId="11" xfId="62" applyFont="1" applyFill="1" applyBorder="1" applyAlignment="1" applyProtection="1">
      <alignment horizontal="center" vertical="center" shrinkToFit="1"/>
      <protection hidden="1"/>
    </xf>
    <xf numFmtId="0" fontId="4" fillId="0" borderId="0" xfId="62" applyFont="1" applyBorder="1" applyProtection="1">
      <alignment/>
      <protection hidden="1"/>
    </xf>
    <xf numFmtId="49" fontId="5" fillId="34" borderId="12" xfId="62" applyNumberFormat="1" applyFont="1" applyFill="1" applyBorder="1" applyAlignment="1" applyProtection="1">
      <alignment horizontal="right"/>
      <protection hidden="1" locked="0"/>
    </xf>
    <xf numFmtId="0" fontId="0" fillId="0" borderId="0" xfId="0" applyNumberForma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3" borderId="11" xfId="62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62" applyFont="1" applyProtection="1">
      <alignment/>
      <protection hidden="1"/>
    </xf>
    <xf numFmtId="0" fontId="5" fillId="0" borderId="0" xfId="62" applyFont="1" applyAlignment="1" applyProtection="1">
      <alignment horizontal="center"/>
      <protection hidden="1"/>
    </xf>
    <xf numFmtId="0" fontId="5" fillId="0" borderId="14" xfId="62" applyFont="1" applyBorder="1" applyProtection="1">
      <alignment/>
      <protection hidden="1"/>
    </xf>
    <xf numFmtId="0" fontId="5" fillId="0" borderId="15" xfId="62" applyFont="1" applyBorder="1" applyProtection="1">
      <alignment/>
      <protection hidden="1"/>
    </xf>
    <xf numFmtId="0" fontId="4" fillId="35" borderId="0" xfId="62" applyFont="1" applyFill="1" applyBorder="1" applyAlignment="1" applyProtection="1">
      <alignment horizontal="center"/>
      <protection hidden="1"/>
    </xf>
    <xf numFmtId="0" fontId="5" fillId="35" borderId="0" xfId="62" applyFont="1" applyFill="1" applyAlignment="1" applyProtection="1">
      <alignment horizontal="left"/>
      <protection hidden="1"/>
    </xf>
    <xf numFmtId="0" fontId="5" fillId="35" borderId="0" xfId="62" applyFont="1" applyFill="1" applyBorder="1" applyAlignment="1" applyProtection="1">
      <alignment horizontal="left"/>
      <protection hidden="1"/>
    </xf>
    <xf numFmtId="0" fontId="4" fillId="35" borderId="0" xfId="62" applyFont="1" applyFill="1" applyBorder="1" applyProtection="1">
      <alignment/>
      <protection hidden="1"/>
    </xf>
    <xf numFmtId="0" fontId="4" fillId="35" borderId="0" xfId="62" applyFont="1" applyFill="1" applyProtection="1">
      <alignment/>
      <protection hidden="1"/>
    </xf>
    <xf numFmtId="49" fontId="4" fillId="35" borderId="0" xfId="62" applyNumberFormat="1" applyFont="1" applyFill="1" applyAlignment="1" applyProtection="1">
      <alignment horizontal="right"/>
      <protection hidden="1" locked="0"/>
    </xf>
    <xf numFmtId="0" fontId="4" fillId="35" borderId="0" xfId="0" applyFont="1" applyFill="1" applyAlignment="1" applyProtection="1">
      <alignment vertical="center"/>
      <protection hidden="1"/>
    </xf>
    <xf numFmtId="0" fontId="4" fillId="35" borderId="0" xfId="62" applyNumberFormat="1" applyFont="1" applyFill="1" applyProtection="1">
      <alignment/>
      <protection hidden="1"/>
    </xf>
    <xf numFmtId="0" fontId="8" fillId="35" borderId="0" xfId="62" applyFont="1" applyFill="1" applyProtection="1">
      <alignment/>
      <protection hidden="1"/>
    </xf>
    <xf numFmtId="0" fontId="8" fillId="35" borderId="0" xfId="62" applyFont="1" applyFill="1" applyBorder="1" applyAlignment="1" applyProtection="1">
      <alignment horizontal="right"/>
      <protection hidden="1"/>
    </xf>
    <xf numFmtId="0" fontId="8" fillId="35" borderId="0" xfId="0" applyFont="1" applyFill="1" applyAlignment="1" applyProtection="1">
      <alignment vertical="center"/>
      <protection hidden="1"/>
    </xf>
    <xf numFmtId="5" fontId="8" fillId="35" borderId="0" xfId="62" applyNumberFormat="1" applyFont="1" applyFill="1" applyBorder="1" applyAlignment="1" applyProtection="1">
      <alignment horizontal="center"/>
      <protection hidden="1"/>
    </xf>
    <xf numFmtId="5" fontId="8" fillId="35" borderId="0" xfId="62" applyNumberFormat="1" applyFont="1" applyFill="1" applyAlignment="1" applyProtection="1">
      <alignment horizontal="left" shrinkToFit="1"/>
      <protection hidden="1"/>
    </xf>
    <xf numFmtId="49" fontId="8" fillId="35" borderId="0" xfId="62" applyNumberFormat="1" applyFont="1" applyFill="1" applyAlignment="1" applyProtection="1">
      <alignment horizontal="right"/>
      <protection hidden="1"/>
    </xf>
    <xf numFmtId="49" fontId="8" fillId="35" borderId="0" xfId="62" applyNumberFormat="1" applyFont="1" applyFill="1" applyAlignment="1" applyProtection="1">
      <alignment shrinkToFit="1"/>
      <protection hidden="1" locked="0"/>
    </xf>
    <xf numFmtId="49" fontId="8" fillId="35" borderId="0" xfId="62" applyNumberFormat="1" applyFont="1" applyFill="1" applyAlignment="1" applyProtection="1">
      <alignment horizontal="right"/>
      <protection hidden="1" locked="0"/>
    </xf>
    <xf numFmtId="0" fontId="8" fillId="35" borderId="0" xfId="62" applyNumberFormat="1" applyFont="1" applyFill="1" applyProtection="1">
      <alignment/>
      <protection hidden="1"/>
    </xf>
    <xf numFmtId="0" fontId="8" fillId="35" borderId="0" xfId="62" applyFont="1" applyFill="1" applyProtection="1">
      <alignment/>
      <protection hidden="1" locked="0"/>
    </xf>
    <xf numFmtId="0" fontId="4" fillId="35" borderId="0" xfId="62" applyFont="1" applyFill="1" applyBorder="1" applyAlignment="1" applyProtection="1">
      <alignment horizontal="left"/>
      <protection hidden="1"/>
    </xf>
    <xf numFmtId="5" fontId="8" fillId="35" borderId="16" xfId="62" applyNumberFormat="1" applyFont="1" applyFill="1" applyBorder="1" applyAlignment="1" applyProtection="1">
      <alignment horizontal="center"/>
      <protection hidden="1"/>
    </xf>
    <xf numFmtId="0" fontId="5" fillId="35" borderId="0" xfId="62" applyFont="1" applyFill="1" applyAlignment="1" applyProtection="1">
      <alignment horizontal="center" vertical="center" shrinkToFit="1"/>
      <protection hidden="1"/>
    </xf>
    <xf numFmtId="0" fontId="0" fillId="35" borderId="0" xfId="0" applyNumberFormat="1" applyFill="1" applyBorder="1" applyAlignment="1">
      <alignment vertical="center"/>
    </xf>
    <xf numFmtId="0" fontId="4" fillId="35" borderId="17" xfId="62" applyFont="1" applyFill="1" applyBorder="1" applyProtection="1">
      <alignment/>
      <protection hidden="1"/>
    </xf>
    <xf numFmtId="49" fontId="5" fillId="35" borderId="0" xfId="62" applyNumberFormat="1" applyFont="1" applyFill="1" applyAlignment="1" applyProtection="1">
      <alignment shrinkToFit="1"/>
      <protection hidden="1" locked="0"/>
    </xf>
    <xf numFmtId="0" fontId="5" fillId="35" borderId="0" xfId="62" applyFont="1" applyFill="1" applyAlignment="1" applyProtection="1">
      <alignment horizontal="center"/>
      <protection hidden="1"/>
    </xf>
    <xf numFmtId="49" fontId="5" fillId="35" borderId="0" xfId="62" applyNumberFormat="1" applyFont="1" applyFill="1" applyAlignment="1" applyProtection="1">
      <alignment horizontal="right"/>
      <protection hidden="1" locked="0"/>
    </xf>
    <xf numFmtId="0" fontId="5" fillId="35" borderId="0" xfId="62" applyFont="1" applyFill="1" applyProtection="1">
      <alignment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19" xfId="62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0" fontId="5" fillId="0" borderId="20" xfId="62" applyFont="1" applyFill="1" applyBorder="1" applyAlignment="1" applyProtection="1">
      <alignment horizontal="center"/>
      <protection hidden="1"/>
    </xf>
    <xf numFmtId="0" fontId="4" fillId="0" borderId="21" xfId="62" applyFont="1" applyFill="1" applyBorder="1" applyProtection="1">
      <alignment/>
      <protection hidden="1"/>
    </xf>
    <xf numFmtId="0" fontId="4" fillId="0" borderId="22" xfId="62" applyFont="1" applyFill="1" applyBorder="1" applyProtection="1">
      <alignment/>
      <protection hidden="1"/>
    </xf>
    <xf numFmtId="0" fontId="4" fillId="0" borderId="23" xfId="62" applyFont="1" applyFill="1" applyBorder="1" applyProtection="1">
      <alignment/>
      <protection hidden="1"/>
    </xf>
    <xf numFmtId="0" fontId="4" fillId="35" borderId="0" xfId="62" applyFont="1" applyFill="1" applyBorder="1" applyAlignment="1" applyProtection="1">
      <alignment shrinkToFit="1"/>
      <protection hidden="1"/>
    </xf>
    <xf numFmtId="0" fontId="8" fillId="36" borderId="24" xfId="63" applyFont="1" applyFill="1" applyBorder="1" applyAlignment="1" applyProtection="1">
      <alignment horizontal="center" shrinkToFit="1"/>
      <protection hidden="1"/>
    </xf>
    <xf numFmtId="0" fontId="8" fillId="33" borderId="24" xfId="63" applyFont="1" applyFill="1" applyBorder="1" applyAlignment="1" applyProtection="1">
      <alignment horizontal="center" shrinkToFit="1"/>
      <protection hidden="1"/>
    </xf>
    <xf numFmtId="0" fontId="5" fillId="0" borderId="25" xfId="62" applyFont="1" applyBorder="1" applyAlignment="1" applyProtection="1">
      <alignment horizontal="center" shrinkToFit="1"/>
      <protection hidden="1"/>
    </xf>
    <xf numFmtId="0" fontId="5" fillId="0" borderId="26" xfId="62" applyFont="1" applyBorder="1" applyAlignment="1" applyProtection="1">
      <alignment horizontal="right" shrinkToFit="1"/>
      <protection hidden="1"/>
    </xf>
    <xf numFmtId="0" fontId="5" fillId="0" borderId="24" xfId="62" applyNumberFormat="1" applyFont="1" applyBorder="1" applyAlignment="1" applyProtection="1">
      <alignment horizontal="center" shrinkToFit="1"/>
      <protection hidden="1"/>
    </xf>
    <xf numFmtId="0" fontId="5" fillId="0" borderId="27" xfId="62" applyFont="1" applyBorder="1" applyAlignment="1" applyProtection="1">
      <alignment horizontal="center"/>
      <protection hidden="1"/>
    </xf>
    <xf numFmtId="0" fontId="5" fillId="0" borderId="0" xfId="62" applyFont="1" applyAlignment="1" applyProtection="1">
      <alignment horizontal="center" vertical="center"/>
      <protection hidden="1"/>
    </xf>
    <xf numFmtId="210" fontId="8" fillId="35" borderId="28" xfId="62" applyNumberFormat="1" applyFont="1" applyFill="1" applyBorder="1" applyAlignment="1" applyProtection="1">
      <alignment horizontal="right"/>
      <protection hidden="1"/>
    </xf>
    <xf numFmtId="5" fontId="8" fillId="35" borderId="16" xfId="62" applyNumberFormat="1" applyFont="1" applyFill="1" applyBorder="1" applyAlignment="1" applyProtection="1">
      <alignment horizontal="center" shrinkToFit="1"/>
      <protection hidden="1"/>
    </xf>
    <xf numFmtId="0" fontId="4" fillId="0" borderId="24" xfId="62" applyNumberFormat="1" applyFont="1" applyFill="1" applyBorder="1" applyAlignment="1" applyProtection="1">
      <alignment horizontal="right"/>
      <protection hidden="1" locked="0"/>
    </xf>
    <xf numFmtId="0" fontId="4" fillId="0" borderId="27" xfId="62" applyNumberFormat="1" applyFont="1" applyFill="1" applyBorder="1" applyAlignment="1" applyProtection="1">
      <alignment horizontal="right"/>
      <protection hidden="1" locked="0"/>
    </xf>
    <xf numFmtId="0" fontId="4" fillId="0" borderId="29" xfId="62" applyNumberFormat="1" applyFont="1" applyFill="1" applyBorder="1" applyAlignment="1" applyProtection="1">
      <alignment horizontal="right"/>
      <protection hidden="1" locked="0"/>
    </xf>
    <xf numFmtId="49" fontId="5" fillId="35" borderId="0" xfId="62" applyNumberFormat="1" applyFont="1" applyFill="1" applyAlignment="1" applyProtection="1">
      <alignment horizontal="center" shrinkToFit="1"/>
      <protection hidden="1" locked="0"/>
    </xf>
    <xf numFmtId="49" fontId="5" fillId="0" borderId="0" xfId="62" applyNumberFormat="1" applyFont="1" applyFill="1" applyAlignment="1" applyProtection="1">
      <alignment horizontal="center" shrinkToFit="1"/>
      <protection hidden="1" locked="0"/>
    </xf>
    <xf numFmtId="0" fontId="4" fillId="0" borderId="30" xfId="62" applyNumberFormat="1" applyFont="1" applyFill="1" applyBorder="1" applyAlignment="1" applyProtection="1">
      <alignment horizontal="right"/>
      <protection hidden="1" locked="0"/>
    </xf>
    <xf numFmtId="0" fontId="4" fillId="0" borderId="31" xfId="62" applyNumberFormat="1" applyFont="1" applyFill="1" applyBorder="1" applyAlignment="1" applyProtection="1">
      <alignment horizontal="right"/>
      <protection hidden="1" locked="0"/>
    </xf>
    <xf numFmtId="176" fontId="5" fillId="0" borderId="32" xfId="62" applyNumberFormat="1" applyFont="1" applyFill="1" applyBorder="1" applyAlignment="1" applyProtection="1">
      <alignment horizontal="center" shrinkToFit="1"/>
      <protection hidden="1" locked="0"/>
    </xf>
    <xf numFmtId="176" fontId="5" fillId="0" borderId="33" xfId="62" applyNumberFormat="1" applyFont="1" applyFill="1" applyBorder="1" applyAlignment="1" applyProtection="1">
      <alignment horizontal="center" shrinkToFit="1"/>
      <protection hidden="1" locked="0"/>
    </xf>
    <xf numFmtId="176" fontId="5" fillId="0" borderId="34" xfId="62" applyNumberFormat="1" applyFont="1" applyFill="1" applyBorder="1" applyAlignment="1" applyProtection="1">
      <alignment horizontal="center" shrinkToFit="1"/>
      <protection hidden="1" locked="0"/>
    </xf>
    <xf numFmtId="0" fontId="4" fillId="0" borderId="35" xfId="62" applyNumberFormat="1" applyFont="1" applyFill="1" applyBorder="1" applyAlignment="1" applyProtection="1">
      <alignment horizontal="right"/>
      <protection hidden="1" locked="0"/>
    </xf>
    <xf numFmtId="0" fontId="4" fillId="0" borderId="36" xfId="62" applyFont="1" applyFill="1" applyBorder="1" applyProtection="1">
      <alignment/>
      <protection hidden="1" locked="0"/>
    </xf>
    <xf numFmtId="0" fontId="4" fillId="0" borderId="26" xfId="62" applyFont="1" applyFill="1" applyBorder="1" applyProtection="1">
      <alignment/>
      <protection hidden="1" locked="0"/>
    </xf>
    <xf numFmtId="0" fontId="4" fillId="0" borderId="37" xfId="62" applyFont="1" applyFill="1" applyBorder="1" applyProtection="1">
      <alignment/>
      <protection hidden="1" locked="0"/>
    </xf>
    <xf numFmtId="0" fontId="4" fillId="0" borderId="38" xfId="62" applyFont="1" applyFill="1" applyBorder="1" applyProtection="1">
      <alignment/>
      <protection hidden="1"/>
    </xf>
    <xf numFmtId="176" fontId="5" fillId="0" borderId="36" xfId="62" applyNumberFormat="1" applyFont="1" applyFill="1" applyBorder="1" applyAlignment="1" applyProtection="1">
      <alignment horizontal="left" shrinkToFit="1"/>
      <protection hidden="1" locked="0"/>
    </xf>
    <xf numFmtId="176" fontId="5" fillId="0" borderId="26" xfId="62" applyNumberFormat="1" applyFont="1" applyFill="1" applyBorder="1" applyAlignment="1" applyProtection="1">
      <alignment horizontal="left" shrinkToFit="1"/>
      <protection hidden="1" locked="0"/>
    </xf>
    <xf numFmtId="176" fontId="5" fillId="0" borderId="37" xfId="62" applyNumberFormat="1" applyFont="1" applyFill="1" applyBorder="1" applyAlignment="1" applyProtection="1">
      <alignment horizontal="left" shrinkToFit="1"/>
      <protection hidden="1" locked="0"/>
    </xf>
    <xf numFmtId="0" fontId="7" fillId="37" borderId="39" xfId="62" applyFont="1" applyFill="1" applyBorder="1" applyAlignment="1" applyProtection="1">
      <alignment shrinkToFit="1"/>
      <protection hidden="1" locked="0"/>
    </xf>
    <xf numFmtId="0" fontId="4" fillId="37" borderId="40" xfId="62" applyFont="1" applyFill="1" applyBorder="1" applyAlignment="1" applyProtection="1">
      <alignment horizontal="left" shrinkToFit="1"/>
      <protection hidden="1" locked="0"/>
    </xf>
    <xf numFmtId="49" fontId="0" fillId="0" borderId="0" xfId="0" applyNumberFormat="1" applyBorder="1" applyAlignment="1">
      <alignment horizontal="left" vertical="center"/>
    </xf>
    <xf numFmtId="206" fontId="8" fillId="35" borderId="0" xfId="62" applyNumberFormat="1" applyFont="1" applyFill="1" applyBorder="1" applyAlignment="1" applyProtection="1">
      <alignment horizontal="center"/>
      <protection hidden="1"/>
    </xf>
    <xf numFmtId="0" fontId="5" fillId="0" borderId="0" xfId="62" applyFont="1" applyFill="1" applyProtection="1">
      <alignment/>
      <protection hidden="1"/>
    </xf>
    <xf numFmtId="49" fontId="5" fillId="0" borderId="0" xfId="62" applyNumberFormat="1" applyFont="1" applyFill="1" applyAlignment="1" applyProtection="1">
      <alignment horizontal="right"/>
      <protection hidden="1" locked="0"/>
    </xf>
    <xf numFmtId="0" fontId="4" fillId="0" borderId="0" xfId="62" applyNumberFormat="1" applyFont="1" applyFill="1" applyProtection="1">
      <alignment/>
      <protection hidden="1"/>
    </xf>
    <xf numFmtId="0" fontId="4" fillId="0" borderId="0" xfId="62" applyFont="1" applyFill="1" applyProtection="1">
      <alignment/>
      <protection hidden="1"/>
    </xf>
    <xf numFmtId="0" fontId="10" fillId="35" borderId="0" xfId="62" applyFont="1" applyFill="1" applyAlignment="1" applyProtection="1">
      <alignment horizontal="left"/>
      <protection hidden="1"/>
    </xf>
    <xf numFmtId="5" fontId="8" fillId="35" borderId="16" xfId="62" applyNumberFormat="1" applyFont="1" applyFill="1" applyBorder="1" applyAlignment="1" applyProtection="1">
      <alignment horizontal="left" shrinkToFit="1"/>
      <protection hidden="1"/>
    </xf>
    <xf numFmtId="5" fontId="8" fillId="35" borderId="0" xfId="62" applyNumberFormat="1" applyFont="1" applyFill="1" applyBorder="1" applyAlignment="1" applyProtection="1">
      <alignment horizontal="left" shrinkToFit="1"/>
      <protection hidden="1"/>
    </xf>
    <xf numFmtId="0" fontId="4" fillId="0" borderId="41" xfId="62" applyFont="1" applyFill="1" applyBorder="1" applyProtection="1">
      <alignment/>
      <protection hidden="1"/>
    </xf>
    <xf numFmtId="0" fontId="4" fillId="0" borderId="19" xfId="62" applyFont="1" applyFill="1" applyBorder="1" applyProtection="1">
      <alignment/>
      <protection hidden="1"/>
    </xf>
    <xf numFmtId="0" fontId="4" fillId="0" borderId="20" xfId="62" applyFont="1" applyFill="1" applyBorder="1" applyProtection="1">
      <alignment/>
      <protection hidden="1"/>
    </xf>
    <xf numFmtId="176" fontId="4" fillId="0" borderId="0" xfId="62" applyNumberFormat="1" applyFont="1" applyProtection="1">
      <alignment/>
      <protection hidden="1"/>
    </xf>
    <xf numFmtId="0" fontId="5" fillId="0" borderId="42" xfId="62" applyFont="1" applyBorder="1" applyAlignment="1" applyProtection="1">
      <alignment horizontal="center" shrinkToFit="1"/>
      <protection hidden="1"/>
    </xf>
    <xf numFmtId="0" fontId="5" fillId="0" borderId="43" xfId="62" applyFont="1" applyBorder="1" applyAlignment="1" applyProtection="1">
      <alignment horizontal="center"/>
      <protection hidden="1"/>
    </xf>
    <xf numFmtId="0" fontId="13" fillId="0" borderId="0" xfId="61" applyFont="1">
      <alignment vertical="center"/>
    </xf>
    <xf numFmtId="0" fontId="14" fillId="0" borderId="0" xfId="61" applyFont="1">
      <alignment vertical="center"/>
    </xf>
    <xf numFmtId="0" fontId="11" fillId="0" borderId="0" xfId="61" applyFont="1">
      <alignment vertical="center"/>
    </xf>
    <xf numFmtId="0" fontId="11" fillId="0" borderId="0" xfId="61">
      <alignment vertical="center"/>
    </xf>
    <xf numFmtId="0" fontId="15" fillId="0" borderId="0" xfId="61" applyFont="1">
      <alignment vertical="center"/>
    </xf>
    <xf numFmtId="0" fontId="4" fillId="0" borderId="44" xfId="62" applyFont="1" applyFill="1" applyBorder="1" applyAlignment="1" applyProtection="1">
      <alignment vertical="center" shrinkToFit="1"/>
      <protection hidden="1" locked="0"/>
    </xf>
    <xf numFmtId="0" fontId="5" fillId="34" borderId="45" xfId="62" applyFont="1" applyFill="1" applyBorder="1" applyAlignment="1" applyProtection="1">
      <alignment horizontal="center" vertical="center" shrinkToFit="1"/>
      <protection hidden="1"/>
    </xf>
    <xf numFmtId="0" fontId="5" fillId="34" borderId="46" xfId="0" applyFont="1" applyFill="1" applyBorder="1" applyAlignment="1" applyProtection="1">
      <alignment horizontal="center" vertical="center" shrinkToFit="1"/>
      <protection hidden="1"/>
    </xf>
    <xf numFmtId="0" fontId="5" fillId="34" borderId="47" xfId="62" applyFont="1" applyFill="1" applyBorder="1" applyAlignment="1" applyProtection="1">
      <alignment horizontal="center" vertical="center" shrinkToFit="1"/>
      <protection hidden="1"/>
    </xf>
    <xf numFmtId="49" fontId="5" fillId="34" borderId="48" xfId="62" applyNumberFormat="1" applyFont="1" applyFill="1" applyBorder="1" applyAlignment="1" applyProtection="1">
      <alignment horizontal="center" vertical="center" shrinkToFit="1"/>
      <protection hidden="1"/>
    </xf>
    <xf numFmtId="49" fontId="5" fillId="34" borderId="49" xfId="62" applyNumberFormat="1" applyFont="1" applyFill="1" applyBorder="1" applyAlignment="1" applyProtection="1">
      <alignment horizontal="center" vertical="center" shrinkToFit="1"/>
      <protection hidden="1"/>
    </xf>
    <xf numFmtId="49" fontId="5" fillId="34" borderId="50" xfId="62" applyNumberFormat="1" applyFont="1" applyFill="1" applyBorder="1" applyAlignment="1" applyProtection="1">
      <alignment horizontal="center" vertical="center" shrinkToFit="1"/>
      <protection hidden="1" locked="0"/>
    </xf>
    <xf numFmtId="0" fontId="5" fillId="34" borderId="45" xfId="62" applyFont="1" applyFill="1" applyBorder="1" applyAlignment="1" applyProtection="1">
      <alignment horizontal="left" vertical="center" shrinkToFit="1"/>
      <protection hidden="1"/>
    </xf>
    <xf numFmtId="49" fontId="5" fillId="34" borderId="51" xfId="62" applyNumberFormat="1" applyFont="1" applyFill="1" applyBorder="1" applyAlignment="1" applyProtection="1">
      <alignment horizontal="center" vertical="center" shrinkToFit="1"/>
      <protection hidden="1" locked="0"/>
    </xf>
    <xf numFmtId="49" fontId="5" fillId="34" borderId="52" xfId="62" applyNumberFormat="1" applyFont="1" applyFill="1" applyBorder="1" applyAlignment="1" applyProtection="1">
      <alignment horizontal="center" vertical="center" shrinkToFit="1"/>
      <protection hidden="1"/>
    </xf>
    <xf numFmtId="0" fontId="4" fillId="34" borderId="26" xfId="63" applyFont="1" applyFill="1" applyBorder="1" applyAlignment="1" applyProtection="1">
      <alignment horizontal="center" vertical="center" shrinkToFit="1"/>
      <protection hidden="1"/>
    </xf>
    <xf numFmtId="0" fontId="4" fillId="34" borderId="24" xfId="63" applyFont="1" applyFill="1" applyBorder="1" applyAlignment="1" applyProtection="1">
      <alignment horizontal="center" vertical="center"/>
      <protection hidden="1"/>
    </xf>
    <xf numFmtId="0" fontId="5" fillId="34" borderId="24" xfId="62" applyFont="1" applyFill="1" applyBorder="1" applyAlignment="1" applyProtection="1">
      <alignment horizontal="center" vertical="center" shrinkToFit="1"/>
      <protection hidden="1"/>
    </xf>
    <xf numFmtId="0" fontId="4" fillId="34" borderId="37" xfId="63" applyFont="1" applyFill="1" applyBorder="1" applyAlignment="1" applyProtection="1">
      <alignment horizontal="center" vertical="center" shrinkToFit="1"/>
      <protection hidden="1"/>
    </xf>
    <xf numFmtId="0" fontId="4" fillId="34" borderId="27" xfId="63" applyFont="1" applyFill="1" applyBorder="1" applyAlignment="1" applyProtection="1">
      <alignment horizontal="center" vertical="center"/>
      <protection hidden="1"/>
    </xf>
    <xf numFmtId="0" fontId="9" fillId="35" borderId="0" xfId="62" applyFont="1" applyFill="1" applyBorder="1" applyAlignment="1" applyProtection="1">
      <alignment horizontal="center" vertical="center"/>
      <protection hidden="1"/>
    </xf>
    <xf numFmtId="0" fontId="8" fillId="37" borderId="40" xfId="62" applyFont="1" applyFill="1" applyBorder="1" applyAlignment="1" applyProtection="1">
      <alignment horizontal="left" shrinkToFit="1"/>
      <protection hidden="1"/>
    </xf>
    <xf numFmtId="0" fontId="4" fillId="35" borderId="17" xfId="62" applyFont="1" applyFill="1" applyBorder="1" applyAlignment="1" applyProtection="1">
      <alignment horizontal="center"/>
      <protection hidden="1"/>
    </xf>
    <xf numFmtId="0" fontId="4" fillId="37" borderId="44" xfId="62" applyFont="1" applyFill="1" applyBorder="1" applyAlignment="1" applyProtection="1">
      <alignment vertical="center"/>
      <protection hidden="1" locked="0"/>
    </xf>
    <xf numFmtId="205" fontId="8" fillId="0" borderId="44" xfId="62" applyNumberFormat="1" applyFont="1" applyFill="1" applyBorder="1" applyAlignment="1" applyProtection="1">
      <alignment horizontal="center" vertical="center"/>
      <protection hidden="1" locked="0"/>
    </xf>
    <xf numFmtId="0" fontId="5" fillId="34" borderId="50" xfId="62" applyFont="1" applyFill="1" applyBorder="1" applyAlignment="1" applyProtection="1">
      <alignment horizontal="center" vertical="center" shrinkToFit="1"/>
      <protection hidden="1"/>
    </xf>
    <xf numFmtId="0" fontId="4" fillId="0" borderId="53" xfId="62" applyFont="1" applyFill="1" applyBorder="1" applyProtection="1">
      <alignment/>
      <protection hidden="1"/>
    </xf>
    <xf numFmtId="0" fontId="4" fillId="0" borderId="54" xfId="62" applyFont="1" applyFill="1" applyBorder="1" applyProtection="1">
      <alignment/>
      <protection hidden="1"/>
    </xf>
    <xf numFmtId="0" fontId="4" fillId="0" borderId="25" xfId="62" applyFont="1" applyFill="1" applyBorder="1" applyProtection="1">
      <alignment/>
      <protection hidden="1"/>
    </xf>
    <xf numFmtId="0" fontId="19" fillId="0" borderId="55" xfId="0" applyFont="1" applyFill="1" applyBorder="1" applyAlignment="1" applyProtection="1">
      <alignment horizontal="distributed" vertical="center"/>
      <protection hidden="1"/>
    </xf>
    <xf numFmtId="0" fontId="19" fillId="0" borderId="56" xfId="0" applyFont="1" applyFill="1" applyBorder="1" applyAlignment="1" applyProtection="1" quotePrefix="1">
      <alignment horizontal="centerContinuous" vertical="center" shrinkToFit="1"/>
      <protection hidden="1"/>
    </xf>
    <xf numFmtId="0" fontId="18" fillId="35" borderId="57" xfId="0" applyFont="1" applyFill="1" applyBorder="1" applyAlignment="1" applyProtection="1">
      <alignment horizontal="center" vertical="center"/>
      <protection hidden="1"/>
    </xf>
    <xf numFmtId="192" fontId="22" fillId="38" borderId="44" xfId="0" applyNumberFormat="1" applyFont="1" applyFill="1" applyBorder="1" applyAlignment="1" applyProtection="1">
      <alignment horizontal="center" vertical="center"/>
      <protection locked="0"/>
    </xf>
    <xf numFmtId="0" fontId="23" fillId="38" borderId="44" xfId="0" applyFont="1" applyFill="1" applyBorder="1" applyAlignment="1" applyProtection="1">
      <alignment horizontal="center" vertical="center"/>
      <protection hidden="1"/>
    </xf>
    <xf numFmtId="0" fontId="23" fillId="38" borderId="44" xfId="0" applyFont="1" applyFill="1" applyBorder="1" applyAlignment="1" applyProtection="1">
      <alignment vertical="center"/>
      <protection hidden="1"/>
    </xf>
    <xf numFmtId="176" fontId="24" fillId="38" borderId="44" xfId="0" applyNumberFormat="1" applyFont="1" applyFill="1" applyBorder="1" applyAlignment="1" applyProtection="1">
      <alignment horizontal="right" vertical="center"/>
      <protection locked="0"/>
    </xf>
    <xf numFmtId="0" fontId="22" fillId="38" borderId="44" xfId="0" applyFont="1" applyFill="1" applyBorder="1" applyAlignment="1" applyProtection="1">
      <alignment horizontal="left" vertical="center"/>
      <protection locked="0"/>
    </xf>
    <xf numFmtId="0" fontId="24" fillId="38" borderId="44" xfId="0" applyFont="1" applyFill="1" applyBorder="1" applyAlignment="1" applyProtection="1">
      <alignment horizontal="left" vertical="center"/>
      <protection locked="0"/>
    </xf>
    <xf numFmtId="0" fontId="24" fillId="38" borderId="44" xfId="0" applyFont="1" applyFill="1" applyBorder="1" applyAlignment="1" applyProtection="1">
      <alignment horizontal="left" vertical="center" shrinkToFit="1"/>
      <protection locked="0"/>
    </xf>
    <xf numFmtId="1" fontId="24" fillId="38" borderId="44" xfId="0" applyNumberFormat="1" applyFont="1" applyFill="1" applyBorder="1" applyAlignment="1" applyProtection="1">
      <alignment horizontal="center" vertical="center"/>
      <protection locked="0"/>
    </xf>
    <xf numFmtId="49" fontId="24" fillId="38" borderId="44" xfId="0" applyNumberFormat="1" applyFont="1" applyFill="1" applyBorder="1" applyAlignment="1" applyProtection="1">
      <alignment horizontal="center" vertical="center"/>
      <protection locked="0"/>
    </xf>
    <xf numFmtId="0" fontId="22" fillId="38" borderId="44" xfId="0" applyFont="1" applyFill="1" applyBorder="1" applyAlignment="1" applyProtection="1">
      <alignment horizontal="left" vertical="center" shrinkToFit="1"/>
      <protection locked="0"/>
    </xf>
    <xf numFmtId="0" fontId="24" fillId="38" borderId="44" xfId="0" applyFont="1" applyFill="1" applyBorder="1" applyAlignment="1" applyProtection="1">
      <alignment vertical="center" shrinkToFit="1"/>
      <protection locked="0"/>
    </xf>
    <xf numFmtId="0" fontId="4" fillId="0" borderId="41" xfId="62" applyNumberFormat="1" applyFont="1" applyFill="1" applyBorder="1" applyAlignment="1" applyProtection="1">
      <alignment shrinkToFit="1"/>
      <protection hidden="1" locked="0"/>
    </xf>
    <xf numFmtId="0" fontId="4" fillId="35" borderId="0" xfId="62" applyNumberFormat="1" applyFont="1" applyFill="1" applyBorder="1" applyAlignment="1" applyProtection="1">
      <alignment horizontal="center"/>
      <protection hidden="1"/>
    </xf>
    <xf numFmtId="0" fontId="4" fillId="35" borderId="0" xfId="62" applyNumberFormat="1" applyFont="1" applyFill="1" applyBorder="1" applyProtection="1">
      <alignment/>
      <protection hidden="1"/>
    </xf>
    <xf numFmtId="0" fontId="9" fillId="37" borderId="0" xfId="62" applyNumberFormat="1" applyFont="1" applyFill="1" applyBorder="1" applyAlignment="1" applyProtection="1">
      <alignment horizontal="center" vertical="center"/>
      <protection hidden="1"/>
    </xf>
    <xf numFmtId="0" fontId="9" fillId="35" borderId="0" xfId="62" applyNumberFormat="1" applyFont="1" applyFill="1" applyBorder="1" applyAlignment="1" applyProtection="1">
      <alignment horizontal="left" vertical="center"/>
      <protection hidden="1"/>
    </xf>
    <xf numFmtId="0" fontId="9" fillId="35" borderId="0" xfId="62" applyNumberFormat="1" applyFont="1" applyFill="1" applyBorder="1" applyAlignment="1" applyProtection="1">
      <alignment horizontal="center" vertical="center"/>
      <protection hidden="1"/>
    </xf>
    <xf numFmtId="0" fontId="4" fillId="35" borderId="0" xfId="62" applyNumberFormat="1" applyFont="1" applyFill="1" applyBorder="1" applyAlignment="1" applyProtection="1">
      <alignment horizontal="left"/>
      <protection hidden="1"/>
    </xf>
    <xf numFmtId="0" fontId="8" fillId="35" borderId="0" xfId="62" applyNumberFormat="1" applyFont="1" applyFill="1" applyBorder="1" applyAlignment="1" applyProtection="1">
      <alignment horizontal="right"/>
      <protection hidden="1"/>
    </xf>
    <xf numFmtId="0" fontId="8" fillId="35" borderId="16" xfId="62" applyNumberFormat="1" applyFont="1" applyFill="1" applyBorder="1" applyAlignment="1" applyProtection="1">
      <alignment horizontal="right"/>
      <protection hidden="1"/>
    </xf>
    <xf numFmtId="0" fontId="4" fillId="0" borderId="41" xfId="62" applyNumberFormat="1" applyFont="1" applyFill="1" applyBorder="1" applyAlignment="1" applyProtection="1">
      <alignment shrinkToFit="1"/>
      <protection hidden="1"/>
    </xf>
    <xf numFmtId="0" fontId="4" fillId="0" borderId="19" xfId="62" applyNumberFormat="1" applyFont="1" applyFill="1" applyBorder="1" applyAlignment="1" applyProtection="1">
      <alignment horizontal="center"/>
      <protection hidden="1"/>
    </xf>
    <xf numFmtId="0" fontId="4" fillId="0" borderId="19" xfId="62" applyNumberFormat="1" applyFont="1" applyFill="1" applyBorder="1" applyAlignment="1" applyProtection="1">
      <alignment shrinkToFit="1"/>
      <protection hidden="1"/>
    </xf>
    <xf numFmtId="0" fontId="4" fillId="0" borderId="20" xfId="62" applyNumberFormat="1" applyFont="1" applyFill="1" applyBorder="1" applyAlignment="1" applyProtection="1">
      <alignment shrinkToFit="1"/>
      <protection hidden="1"/>
    </xf>
    <xf numFmtId="49" fontId="4" fillId="0" borderId="41" xfId="62" applyNumberFormat="1" applyFont="1" applyFill="1" applyBorder="1" applyAlignment="1" applyProtection="1">
      <alignment horizontal="center"/>
      <protection hidden="1" locked="0"/>
    </xf>
    <xf numFmtId="1" fontId="4" fillId="0" borderId="58" xfId="62" applyNumberFormat="1" applyFont="1" applyFill="1" applyBorder="1" applyAlignment="1" applyProtection="1">
      <alignment horizontal="center"/>
      <protection hidden="1" locked="0"/>
    </xf>
    <xf numFmtId="0" fontId="4" fillId="0" borderId="19" xfId="62" applyNumberFormat="1" applyFont="1" applyFill="1" applyBorder="1" applyAlignment="1" applyProtection="1">
      <alignment shrinkToFit="1"/>
      <protection hidden="1" locked="0"/>
    </xf>
    <xf numFmtId="49" fontId="4" fillId="0" borderId="19" xfId="62" applyNumberFormat="1" applyFont="1" applyFill="1" applyBorder="1" applyAlignment="1" applyProtection="1">
      <alignment horizontal="center"/>
      <protection hidden="1" locked="0"/>
    </xf>
    <xf numFmtId="1" fontId="4" fillId="0" borderId="59" xfId="62" applyNumberFormat="1" applyFont="1" applyFill="1" applyBorder="1" applyAlignment="1" applyProtection="1">
      <alignment horizontal="center"/>
      <protection hidden="1" locked="0"/>
    </xf>
    <xf numFmtId="0" fontId="4" fillId="0" borderId="20" xfId="62" applyNumberFormat="1" applyFont="1" applyFill="1" applyBorder="1" applyAlignment="1" applyProtection="1">
      <alignment shrinkToFit="1"/>
      <protection hidden="1" locked="0"/>
    </xf>
    <xf numFmtId="49" fontId="4" fillId="0" borderId="20" xfId="62" applyNumberFormat="1" applyFont="1" applyFill="1" applyBorder="1" applyAlignment="1" applyProtection="1">
      <alignment horizontal="center"/>
      <protection hidden="1" locked="0"/>
    </xf>
    <xf numFmtId="0" fontId="4" fillId="0" borderId="20" xfId="62" applyNumberFormat="1" applyFont="1" applyFill="1" applyBorder="1" applyAlignment="1" applyProtection="1">
      <alignment horizontal="center"/>
      <protection hidden="1"/>
    </xf>
    <xf numFmtId="1" fontId="4" fillId="0" borderId="60" xfId="62" applyNumberFormat="1" applyFont="1" applyFill="1" applyBorder="1" applyAlignment="1" applyProtection="1">
      <alignment horizontal="center"/>
      <protection hidden="1" locked="0"/>
    </xf>
    <xf numFmtId="0" fontId="5" fillId="34" borderId="61" xfId="62" applyFont="1" applyFill="1" applyBorder="1" applyAlignment="1" applyProtection="1">
      <alignment horizontal="center" vertical="center" shrinkToFit="1"/>
      <protection hidden="1"/>
    </xf>
    <xf numFmtId="0" fontId="5" fillId="34" borderId="62" xfId="62" applyFont="1" applyFill="1" applyBorder="1" applyAlignment="1" applyProtection="1">
      <alignment horizontal="center" vertical="center" shrinkToFit="1"/>
      <protection hidden="1"/>
    </xf>
    <xf numFmtId="0" fontId="5" fillId="34" borderId="62" xfId="62" applyNumberFormat="1" applyFont="1" applyFill="1" applyBorder="1" applyAlignment="1" applyProtection="1">
      <alignment horizontal="center" vertical="center" shrinkToFit="1"/>
      <protection hidden="1"/>
    </xf>
    <xf numFmtId="0" fontId="5" fillId="34" borderId="18" xfId="62" applyNumberFormat="1" applyFont="1" applyFill="1" applyBorder="1" applyAlignment="1" applyProtection="1">
      <alignment horizontal="center" vertical="center" shrinkToFit="1"/>
      <protection hidden="1"/>
    </xf>
    <xf numFmtId="0" fontId="4" fillId="0" borderId="41" xfId="62" applyNumberFormat="1" applyFont="1" applyFill="1" applyBorder="1" applyAlignment="1" applyProtection="1">
      <alignment horizontal="center"/>
      <protection hidden="1"/>
    </xf>
    <xf numFmtId="0" fontId="10" fillId="35" borderId="0" xfId="62" applyNumberFormat="1" applyFont="1" applyFill="1" applyBorder="1" applyAlignment="1" applyProtection="1">
      <alignment vertical="center"/>
      <protection hidden="1"/>
    </xf>
    <xf numFmtId="0" fontId="10" fillId="35" borderId="0" xfId="0" applyFont="1" applyFill="1" applyBorder="1" applyAlignment="1" applyProtection="1">
      <alignment vertical="center"/>
      <protection hidden="1"/>
    </xf>
    <xf numFmtId="0" fontId="10" fillId="35" borderId="0" xfId="62" applyFont="1" applyFill="1" applyBorder="1" applyAlignment="1" applyProtection="1">
      <alignment vertical="center"/>
      <protection hidden="1"/>
    </xf>
    <xf numFmtId="0" fontId="4" fillId="35" borderId="0" xfId="62" applyFont="1" applyFill="1" applyBorder="1" applyAlignment="1" applyProtection="1">
      <alignment vertical="center"/>
      <protection hidden="1"/>
    </xf>
    <xf numFmtId="49" fontId="4" fillId="35" borderId="0" xfId="62" applyNumberFormat="1" applyFont="1" applyFill="1" applyAlignment="1" applyProtection="1">
      <alignment vertical="center" shrinkToFit="1"/>
      <protection hidden="1" locked="0"/>
    </xf>
    <xf numFmtId="0" fontId="10" fillId="35" borderId="0" xfId="62" applyNumberFormat="1" applyFont="1" applyFill="1" applyBorder="1" applyAlignment="1" applyProtection="1">
      <alignment/>
      <protection hidden="1"/>
    </xf>
    <xf numFmtId="0" fontId="5" fillId="34" borderId="63" xfId="62" applyFont="1" applyFill="1" applyBorder="1" applyAlignment="1" applyProtection="1">
      <alignment horizontal="center" vertical="center" shrinkToFit="1"/>
      <protection hidden="1"/>
    </xf>
    <xf numFmtId="0" fontId="4" fillId="0" borderId="53" xfId="62" applyFont="1" applyFill="1" applyBorder="1" applyProtection="1">
      <alignment/>
      <protection hidden="1" locked="0"/>
    </xf>
    <xf numFmtId="0" fontId="4" fillId="0" borderId="54" xfId="62" applyFont="1" applyFill="1" applyBorder="1" applyProtection="1">
      <alignment/>
      <protection hidden="1" locked="0"/>
    </xf>
    <xf numFmtId="0" fontId="4" fillId="0" borderId="25" xfId="62" applyFont="1" applyFill="1" applyBorder="1" applyProtection="1">
      <alignment/>
      <protection hidden="1" locked="0"/>
    </xf>
    <xf numFmtId="49" fontId="5" fillId="34" borderId="46" xfId="62" applyNumberFormat="1" applyFont="1" applyFill="1" applyBorder="1" applyAlignment="1" applyProtection="1">
      <alignment horizontal="center" vertical="center" shrinkToFit="1"/>
      <protection hidden="1"/>
    </xf>
    <xf numFmtId="0" fontId="4" fillId="0" borderId="64" xfId="62" applyNumberFormat="1" applyFont="1" applyFill="1" applyBorder="1" applyAlignment="1" applyProtection="1">
      <alignment horizontal="right"/>
      <protection hidden="1" locked="0"/>
    </xf>
    <xf numFmtId="0" fontId="4" fillId="0" borderId="65" xfId="62" applyNumberFormat="1" applyFont="1" applyFill="1" applyBorder="1" applyAlignment="1" applyProtection="1">
      <alignment horizontal="right"/>
      <protection hidden="1" locked="0"/>
    </xf>
    <xf numFmtId="0" fontId="4" fillId="0" borderId="66" xfId="62" applyNumberFormat="1" applyFont="1" applyFill="1" applyBorder="1" applyAlignment="1" applyProtection="1">
      <alignment horizontal="right"/>
      <protection hidden="1" locked="0"/>
    </xf>
    <xf numFmtId="49" fontId="5" fillId="34" borderId="46" xfId="62" applyNumberFormat="1" applyFont="1" applyFill="1" applyBorder="1" applyAlignment="1" applyProtection="1">
      <alignment horizontal="center" vertical="center" shrinkToFit="1"/>
      <protection hidden="1" locked="0"/>
    </xf>
    <xf numFmtId="49" fontId="5" fillId="33" borderId="0" xfId="62" applyNumberFormat="1" applyFont="1" applyFill="1" applyBorder="1" applyAlignment="1" applyProtection="1">
      <alignment horizontal="center" vertical="center" shrinkToFit="1"/>
      <protection hidden="1"/>
    </xf>
    <xf numFmtId="49" fontId="5" fillId="34" borderId="0" xfId="62" applyNumberFormat="1" applyFont="1" applyFill="1" applyBorder="1" applyAlignment="1" applyProtection="1">
      <alignment horizontal="right"/>
      <protection hidden="1" locked="0"/>
    </xf>
    <xf numFmtId="205" fontId="8" fillId="35" borderId="0" xfId="62" applyNumberFormat="1" applyFont="1" applyFill="1" applyBorder="1" applyAlignment="1" applyProtection="1">
      <alignment horizontal="left" shrinkToFit="1"/>
      <protection hidden="1"/>
    </xf>
    <xf numFmtId="0" fontId="8" fillId="35" borderId="0" xfId="62" applyFont="1" applyFill="1" applyBorder="1" applyAlignment="1" applyProtection="1">
      <alignment horizontal="left"/>
      <protection hidden="1"/>
    </xf>
    <xf numFmtId="0" fontId="4" fillId="39" borderId="40" xfId="62" applyFont="1" applyFill="1" applyBorder="1" applyProtection="1">
      <alignment/>
      <protection hidden="1"/>
    </xf>
    <xf numFmtId="0" fontId="4" fillId="39" borderId="67" xfId="62" applyFont="1" applyFill="1" applyBorder="1" applyProtection="1">
      <alignment/>
      <protection hidden="1"/>
    </xf>
    <xf numFmtId="0" fontId="8" fillId="39" borderId="40" xfId="62" applyFont="1" applyFill="1" applyBorder="1" applyProtection="1">
      <alignment/>
      <protection hidden="1"/>
    </xf>
    <xf numFmtId="0" fontId="8" fillId="39" borderId="67" xfId="62" applyFont="1" applyFill="1" applyBorder="1" applyProtection="1">
      <alignment/>
      <protection hidden="1"/>
    </xf>
    <xf numFmtId="0" fontId="4" fillId="39" borderId="68" xfId="62" applyFont="1" applyFill="1" applyBorder="1" applyAlignment="1" applyProtection="1">
      <alignment horizontal="left"/>
      <protection hidden="1"/>
    </xf>
    <xf numFmtId="0" fontId="8" fillId="39" borderId="68" xfId="62" applyFont="1" applyFill="1" applyBorder="1" applyAlignment="1" applyProtection="1">
      <alignment horizontal="left"/>
      <protection hidden="1"/>
    </xf>
    <xf numFmtId="0" fontId="4" fillId="40" borderId="0" xfId="62" applyFont="1" applyFill="1" applyProtection="1">
      <alignment/>
      <protection hidden="1"/>
    </xf>
    <xf numFmtId="0" fontId="8" fillId="40" borderId="0" xfId="62" applyFont="1" applyFill="1" applyProtection="1">
      <alignment/>
      <protection hidden="1"/>
    </xf>
    <xf numFmtId="0" fontId="5" fillId="40" borderId="0" xfId="62" applyFont="1" applyFill="1" applyAlignment="1" applyProtection="1">
      <alignment horizontal="center" vertical="center" shrinkToFit="1"/>
      <protection hidden="1"/>
    </xf>
    <xf numFmtId="0" fontId="18" fillId="0" borderId="55" xfId="0" applyFont="1" applyFill="1" applyBorder="1" applyAlignment="1" applyProtection="1">
      <alignment horizontal="distributed"/>
      <protection hidden="1"/>
    </xf>
    <xf numFmtId="0" fontId="20" fillId="0" borderId="69" xfId="0" applyFont="1" applyFill="1" applyBorder="1" applyAlignment="1" applyProtection="1">
      <alignment horizontal="center" vertical="center"/>
      <protection hidden="1"/>
    </xf>
    <xf numFmtId="0" fontId="20" fillId="0" borderId="70" xfId="0" applyFont="1" applyFill="1" applyBorder="1" applyAlignment="1" applyProtection="1">
      <alignment horizontal="distributed" vertical="center"/>
      <protection hidden="1"/>
    </xf>
    <xf numFmtId="0" fontId="21" fillId="0" borderId="56" xfId="0" applyFont="1" applyFill="1" applyBorder="1" applyAlignment="1" applyProtection="1">
      <alignment horizontal="center" vertical="center" wrapText="1"/>
      <protection hidden="1"/>
    </xf>
    <xf numFmtId="0" fontId="21" fillId="0" borderId="56" xfId="0" applyFont="1" applyFill="1" applyBorder="1" applyAlignment="1" applyProtection="1">
      <alignment vertical="center" wrapText="1"/>
      <protection hidden="1"/>
    </xf>
    <xf numFmtId="49" fontId="20" fillId="0" borderId="55" xfId="0" applyNumberFormat="1" applyFont="1" applyFill="1" applyBorder="1" applyAlignment="1" applyProtection="1">
      <alignment horizontal="center" vertical="center" shrinkToFit="1"/>
      <protection hidden="1"/>
    </xf>
    <xf numFmtId="49" fontId="20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Alignment="1">
      <alignment vertical="center"/>
    </xf>
    <xf numFmtId="49" fontId="18" fillId="0" borderId="71" xfId="0" applyNumberFormat="1" applyFont="1" applyFill="1" applyBorder="1" applyAlignment="1" applyProtection="1">
      <alignment horizontal="center" vertical="center"/>
      <protection hidden="1"/>
    </xf>
    <xf numFmtId="0" fontId="18" fillId="0" borderId="55" xfId="0" applyFont="1" applyFill="1" applyBorder="1" applyAlignment="1" applyProtection="1">
      <alignment vertical="center" textRotation="255"/>
      <protection hidden="1"/>
    </xf>
    <xf numFmtId="0" fontId="18" fillId="0" borderId="72" xfId="0" applyFont="1" applyFill="1" applyBorder="1" applyAlignment="1" applyProtection="1">
      <alignment vertical="center" textRotation="255"/>
      <protection hidden="1"/>
    </xf>
    <xf numFmtId="0" fontId="20" fillId="0" borderId="55" xfId="0" applyFont="1" applyFill="1" applyBorder="1" applyAlignment="1" applyProtection="1">
      <alignment horizontal="center" vertical="center"/>
      <protection hidden="1"/>
    </xf>
    <xf numFmtId="0" fontId="20" fillId="0" borderId="56" xfId="0" applyFont="1" applyFill="1" applyBorder="1" applyAlignment="1" applyProtection="1">
      <alignment horizontal="center" vertical="center"/>
      <protection hidden="1"/>
    </xf>
    <xf numFmtId="0" fontId="20" fillId="0" borderId="57" xfId="0" applyFont="1" applyFill="1" applyBorder="1" applyAlignment="1" applyProtection="1">
      <alignment horizontal="distributed" vertical="center"/>
      <protection hidden="1"/>
    </xf>
    <xf numFmtId="0" fontId="20" fillId="0" borderId="73" xfId="0" applyFont="1" applyFill="1" applyBorder="1" applyAlignment="1" applyProtection="1">
      <alignment horizontal="distributed" vertical="center"/>
      <protection hidden="1"/>
    </xf>
    <xf numFmtId="0" fontId="20" fillId="0" borderId="55" xfId="0" applyFont="1" applyFill="1" applyBorder="1" applyAlignment="1" applyProtection="1">
      <alignment horizontal="center" vertical="center" wrapText="1"/>
      <protection hidden="1"/>
    </xf>
    <xf numFmtId="0" fontId="20" fillId="0" borderId="56" xfId="0" applyFont="1" applyFill="1" applyBorder="1" applyAlignment="1" applyProtection="1">
      <alignment horizontal="center" vertical="center" wrapText="1"/>
      <protection hidden="1"/>
    </xf>
    <xf numFmtId="0" fontId="18" fillId="0" borderId="55" xfId="0" applyFont="1" applyFill="1" applyBorder="1" applyAlignment="1" applyProtection="1">
      <alignment horizontal="center" vertical="center" textRotation="255"/>
      <protection hidden="1"/>
    </xf>
    <xf numFmtId="0" fontId="18" fillId="0" borderId="56" xfId="0" applyFont="1" applyFill="1" applyBorder="1" applyAlignment="1" applyProtection="1">
      <alignment horizontal="center" vertical="center" textRotation="255"/>
      <protection hidden="1"/>
    </xf>
    <xf numFmtId="49" fontId="4" fillId="0" borderId="19" xfId="63" applyNumberFormat="1" applyFont="1" applyFill="1" applyBorder="1" applyAlignment="1" applyProtection="1">
      <alignment horizontal="right" vertical="center"/>
      <protection hidden="1" locked="0"/>
    </xf>
    <xf numFmtId="0" fontId="4" fillId="35" borderId="17" xfId="62" applyFont="1" applyFill="1" applyBorder="1" applyAlignment="1" applyProtection="1">
      <alignment horizontal="center"/>
      <protection hidden="1"/>
    </xf>
    <xf numFmtId="0" fontId="4" fillId="35" borderId="0" xfId="62" applyFont="1" applyFill="1" applyBorder="1" applyAlignment="1" applyProtection="1">
      <alignment horizontal="center"/>
      <protection hidden="1"/>
    </xf>
    <xf numFmtId="0" fontId="8" fillId="33" borderId="26" xfId="63" applyFont="1" applyFill="1" applyBorder="1" applyAlignment="1" applyProtection="1">
      <alignment horizontal="center" shrinkToFit="1"/>
      <protection hidden="1"/>
    </xf>
    <xf numFmtId="0" fontId="8" fillId="33" borderId="19" xfId="63" applyFont="1" applyFill="1" applyBorder="1" applyAlignment="1" applyProtection="1">
      <alignment horizontal="center" shrinkToFit="1"/>
      <protection hidden="1"/>
    </xf>
    <xf numFmtId="0" fontId="4" fillId="35" borderId="17" xfId="62" applyFont="1" applyFill="1" applyBorder="1" applyAlignment="1" applyProtection="1">
      <alignment horizontal="center" vertical="center" shrinkToFit="1"/>
      <protection hidden="1"/>
    </xf>
    <xf numFmtId="0" fontId="4" fillId="35" borderId="0" xfId="62" applyFont="1" applyFill="1" applyBorder="1" applyAlignment="1" applyProtection="1">
      <alignment horizontal="center" vertical="center" shrinkToFit="1"/>
      <protection hidden="1"/>
    </xf>
    <xf numFmtId="5" fontId="8" fillId="35" borderId="17" xfId="62" applyNumberFormat="1" applyFont="1" applyFill="1" applyBorder="1" applyAlignment="1" applyProtection="1">
      <alignment horizontal="center" vertical="center"/>
      <protection hidden="1"/>
    </xf>
    <xf numFmtId="5" fontId="8" fillId="35" borderId="0" xfId="62" applyNumberFormat="1" applyFont="1" applyFill="1" applyBorder="1" applyAlignment="1" applyProtection="1">
      <alignment horizontal="center" vertical="center"/>
      <protection hidden="1"/>
    </xf>
    <xf numFmtId="0" fontId="5" fillId="33" borderId="36" xfId="62" applyFont="1" applyFill="1" applyBorder="1" applyAlignment="1" applyProtection="1">
      <alignment horizontal="center" shrinkToFit="1"/>
      <protection hidden="1"/>
    </xf>
    <xf numFmtId="0" fontId="5" fillId="33" borderId="29" xfId="62" applyFont="1" applyFill="1" applyBorder="1" applyAlignment="1" applyProtection="1">
      <alignment horizontal="center" shrinkToFit="1"/>
      <protection hidden="1"/>
    </xf>
    <xf numFmtId="49" fontId="4" fillId="0" borderId="20" xfId="63" applyNumberFormat="1" applyFont="1" applyFill="1" applyBorder="1" applyAlignment="1" applyProtection="1">
      <alignment horizontal="right" vertical="center"/>
      <protection hidden="1" locked="0"/>
    </xf>
    <xf numFmtId="0" fontId="4" fillId="0" borderId="44" xfId="0" applyFont="1" applyFill="1" applyBorder="1" applyAlignment="1" applyProtection="1">
      <alignment vertical="center" shrinkToFit="1"/>
      <protection hidden="1"/>
    </xf>
    <xf numFmtId="0" fontId="4" fillId="0" borderId="74" xfId="0" applyFont="1" applyFill="1" applyBorder="1" applyAlignment="1" applyProtection="1">
      <alignment vertical="center" shrinkToFit="1"/>
      <protection hidden="1"/>
    </xf>
    <xf numFmtId="0" fontId="6" fillId="35" borderId="17" xfId="62" applyFont="1" applyFill="1" applyBorder="1" applyAlignment="1" applyProtection="1">
      <alignment horizontal="center"/>
      <protection hidden="1"/>
    </xf>
    <xf numFmtId="0" fontId="6" fillId="35" borderId="0" xfId="62" applyFont="1" applyFill="1" applyBorder="1" applyAlignment="1" applyProtection="1">
      <alignment horizontal="center"/>
      <protection hidden="1"/>
    </xf>
    <xf numFmtId="0" fontId="4" fillId="0" borderId="75" xfId="0" applyFont="1" applyFill="1" applyBorder="1" applyAlignment="1" applyProtection="1">
      <alignment vertical="center" shrinkToFit="1"/>
      <protection hidden="1"/>
    </xf>
    <xf numFmtId="0" fontId="4" fillId="0" borderId="76" xfId="0" applyFont="1" applyFill="1" applyBorder="1" applyAlignment="1" applyProtection="1">
      <alignment vertical="center" shrinkToFit="1"/>
      <protection hidden="1"/>
    </xf>
    <xf numFmtId="0" fontId="4" fillId="0" borderId="77" xfId="0" applyFont="1" applyFill="1" applyBorder="1" applyAlignment="1" applyProtection="1">
      <alignment vertical="center" shrinkToFit="1"/>
      <protection hidden="1"/>
    </xf>
    <xf numFmtId="0" fontId="8" fillId="34" borderId="21" xfId="62" applyFont="1" applyFill="1" applyBorder="1" applyAlignment="1" applyProtection="1">
      <alignment horizontal="center"/>
      <protection hidden="1"/>
    </xf>
    <xf numFmtId="0" fontId="8" fillId="34" borderId="64" xfId="62" applyFont="1" applyFill="1" applyBorder="1" applyAlignment="1" applyProtection="1">
      <alignment horizontal="center"/>
      <protection hidden="1"/>
    </xf>
    <xf numFmtId="0" fontId="8" fillId="34" borderId="14" xfId="62" applyFont="1" applyFill="1" applyBorder="1" applyAlignment="1" applyProtection="1">
      <alignment horizontal="center"/>
      <protection hidden="1"/>
    </xf>
    <xf numFmtId="0" fontId="4" fillId="34" borderId="26" xfId="63" applyFont="1" applyFill="1" applyBorder="1" applyAlignment="1" applyProtection="1">
      <alignment horizontal="center" vertical="center" shrinkToFit="1"/>
      <protection hidden="1"/>
    </xf>
    <xf numFmtId="0" fontId="4" fillId="34" borderId="19" xfId="63" applyFont="1" applyFill="1" applyBorder="1" applyAlignment="1" applyProtection="1">
      <alignment horizontal="center" vertical="center" shrinkToFit="1"/>
      <protection hidden="1"/>
    </xf>
    <xf numFmtId="0" fontId="8" fillId="36" borderId="26" xfId="63" applyFont="1" applyFill="1" applyBorder="1" applyAlignment="1" applyProtection="1">
      <alignment horizontal="center" shrinkToFit="1"/>
      <protection hidden="1"/>
    </xf>
    <xf numFmtId="0" fontId="8" fillId="36" borderId="19" xfId="63" applyFont="1" applyFill="1" applyBorder="1" applyAlignment="1" applyProtection="1">
      <alignment horizontal="center" shrinkToFit="1"/>
      <protection hidden="1"/>
    </xf>
    <xf numFmtId="0" fontId="5" fillId="34" borderId="36" xfId="62" applyFont="1" applyFill="1" applyBorder="1" applyAlignment="1" applyProtection="1">
      <alignment horizontal="center"/>
      <protection hidden="1"/>
    </xf>
    <xf numFmtId="0" fontId="5" fillId="34" borderId="29" xfId="62" applyFont="1" applyFill="1" applyBorder="1" applyAlignment="1" applyProtection="1">
      <alignment horizontal="center"/>
      <protection hidden="1"/>
    </xf>
    <xf numFmtId="0" fontId="5" fillId="36" borderId="26" xfId="62" applyFont="1" applyFill="1" applyBorder="1" applyAlignment="1" applyProtection="1">
      <alignment horizontal="center"/>
      <protection hidden="1"/>
    </xf>
    <xf numFmtId="0" fontId="5" fillId="36" borderId="24" xfId="62" applyFont="1" applyFill="1" applyBorder="1" applyAlignment="1" applyProtection="1">
      <alignment horizontal="center"/>
      <protection hidden="1"/>
    </xf>
    <xf numFmtId="0" fontId="4" fillId="0" borderId="78" xfId="0" applyFont="1" applyFill="1" applyBorder="1" applyAlignment="1" applyProtection="1">
      <alignment vertical="center" shrinkToFit="1"/>
      <protection hidden="1"/>
    </xf>
    <xf numFmtId="0" fontId="4" fillId="0" borderId="79" xfId="0" applyFont="1" applyFill="1" applyBorder="1" applyAlignment="1" applyProtection="1">
      <alignment vertical="center" shrinkToFit="1"/>
      <protection hidden="1"/>
    </xf>
    <xf numFmtId="0" fontId="4" fillId="33" borderId="80" xfId="62" applyFont="1" applyFill="1" applyBorder="1" applyAlignment="1" applyProtection="1">
      <alignment horizontal="center" shrinkToFit="1"/>
      <protection hidden="1"/>
    </xf>
    <xf numFmtId="0" fontId="4" fillId="33" borderId="81" xfId="62" applyFont="1" applyFill="1" applyBorder="1" applyAlignment="1" applyProtection="1">
      <alignment horizontal="center" shrinkToFit="1"/>
      <protection hidden="1"/>
    </xf>
    <xf numFmtId="0" fontId="4" fillId="36" borderId="80" xfId="62" applyFont="1" applyFill="1" applyBorder="1" applyAlignment="1" applyProtection="1">
      <alignment horizontal="center" shrinkToFit="1"/>
      <protection hidden="1"/>
    </xf>
    <xf numFmtId="0" fontId="4" fillId="36" borderId="81" xfId="62" applyFont="1" applyFill="1" applyBorder="1" applyAlignment="1" applyProtection="1">
      <alignment horizontal="center" shrinkToFit="1"/>
      <protection hidden="1"/>
    </xf>
    <xf numFmtId="0" fontId="4" fillId="36" borderId="81" xfId="62" applyFont="1" applyFill="1" applyBorder="1" applyAlignment="1" applyProtection="1">
      <alignment horizontal="center"/>
      <protection hidden="1"/>
    </xf>
    <xf numFmtId="0" fontId="4" fillId="36" borderId="82" xfId="62" applyFont="1" applyFill="1" applyBorder="1" applyAlignment="1" applyProtection="1">
      <alignment horizontal="center"/>
      <protection hidden="1"/>
    </xf>
    <xf numFmtId="0" fontId="4" fillId="36" borderId="83" xfId="62" applyFont="1" applyFill="1" applyBorder="1" applyAlignment="1" applyProtection="1">
      <alignment horizontal="center" shrinkToFit="1"/>
      <protection hidden="1"/>
    </xf>
    <xf numFmtId="0" fontId="4" fillId="36" borderId="84" xfId="62" applyFont="1" applyFill="1" applyBorder="1" applyAlignment="1" applyProtection="1">
      <alignment horizontal="center" shrinkToFit="1"/>
      <protection hidden="1"/>
    </xf>
    <xf numFmtId="0" fontId="4" fillId="0" borderId="85" xfId="0" applyFont="1" applyFill="1" applyBorder="1" applyAlignment="1" applyProtection="1">
      <alignment vertical="center" shrinkToFit="1"/>
      <protection hidden="1"/>
    </xf>
    <xf numFmtId="0" fontId="4" fillId="0" borderId="86" xfId="0" applyFont="1" applyFill="1" applyBorder="1" applyAlignment="1" applyProtection="1">
      <alignment vertical="center" shrinkToFit="1"/>
      <protection hidden="1"/>
    </xf>
    <xf numFmtId="0" fontId="4" fillId="0" borderId="87" xfId="0" applyFont="1" applyFill="1" applyBorder="1" applyAlignment="1" applyProtection="1">
      <alignment vertical="center" shrinkToFit="1"/>
      <protection hidden="1"/>
    </xf>
    <xf numFmtId="0" fontId="4" fillId="33" borderId="81" xfId="62" applyFont="1" applyFill="1" applyBorder="1" applyAlignment="1" applyProtection="1">
      <alignment horizontal="center"/>
      <protection hidden="1"/>
    </xf>
    <xf numFmtId="0" fontId="4" fillId="33" borderId="82" xfId="62" applyFont="1" applyFill="1" applyBorder="1" applyAlignment="1" applyProtection="1">
      <alignment horizontal="center"/>
      <protection hidden="1"/>
    </xf>
    <xf numFmtId="0" fontId="4" fillId="0" borderId="44" xfId="62" applyFont="1" applyFill="1" applyBorder="1" applyAlignment="1" applyProtection="1">
      <alignment vertical="center" textRotation="255" shrinkToFit="1"/>
      <protection hidden="1" locked="0"/>
    </xf>
    <xf numFmtId="49" fontId="10" fillId="35" borderId="88" xfId="62" applyNumberFormat="1" applyFont="1" applyFill="1" applyBorder="1" applyAlignment="1" applyProtection="1">
      <alignment horizontal="center" vertical="center" textRotation="255" shrinkToFit="1"/>
      <protection hidden="1"/>
    </xf>
    <xf numFmtId="49" fontId="10" fillId="35" borderId="89" xfId="62" applyNumberFormat="1" applyFont="1" applyFill="1" applyBorder="1" applyAlignment="1" applyProtection="1">
      <alignment horizontal="center" vertical="center" textRotation="255" shrinkToFit="1"/>
      <protection hidden="1"/>
    </xf>
    <xf numFmtId="49" fontId="10" fillId="35" borderId="90" xfId="62" applyNumberFormat="1" applyFont="1" applyFill="1" applyBorder="1" applyAlignment="1" applyProtection="1">
      <alignment horizontal="center" vertical="center" textRotation="255" shrinkToFit="1"/>
      <protection hidden="1"/>
    </xf>
    <xf numFmtId="0" fontId="4" fillId="33" borderId="83" xfId="62" applyFont="1" applyFill="1" applyBorder="1" applyAlignment="1" applyProtection="1">
      <alignment horizontal="center" shrinkToFit="1"/>
      <protection hidden="1"/>
    </xf>
    <xf numFmtId="0" fontId="4" fillId="33" borderId="84" xfId="62" applyFont="1" applyFill="1" applyBorder="1" applyAlignment="1" applyProtection="1">
      <alignment horizontal="center" shrinkToFit="1"/>
      <protection hidden="1"/>
    </xf>
    <xf numFmtId="0" fontId="4" fillId="0" borderId="91" xfId="0" applyFont="1" applyFill="1" applyBorder="1" applyAlignment="1" applyProtection="1">
      <alignment vertical="center" shrinkToFit="1"/>
      <protection hidden="1"/>
    </xf>
    <xf numFmtId="0" fontId="4" fillId="0" borderId="92" xfId="0" applyFont="1" applyFill="1" applyBorder="1" applyAlignment="1" applyProtection="1">
      <alignment vertical="center" shrinkToFit="1"/>
      <protection hidden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B男" xfId="61"/>
    <cellStyle name="標準_競技者" xfId="62"/>
    <cellStyle name="標準_競技者_hs" xfId="63"/>
    <cellStyle name="Followed Hyperlink" xfId="64"/>
    <cellStyle name="良い" xfId="65"/>
  </cellStyles>
  <dxfs count="15">
    <dxf>
      <fill>
        <patternFill patternType="mediumGray">
          <fgColor indexed="9"/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8</xdr:row>
      <xdr:rowOff>295275</xdr:rowOff>
    </xdr:from>
    <xdr:to>
      <xdr:col>11</xdr:col>
      <xdr:colOff>257175</xdr:colOff>
      <xdr:row>34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4121" b="34504"/>
        <a:stretch>
          <a:fillRect/>
        </a:stretch>
      </xdr:blipFill>
      <xdr:spPr>
        <a:xfrm>
          <a:off x="400050" y="3495675"/>
          <a:ext cx="7400925" cy="456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428625</xdr:colOff>
      <xdr:row>36</xdr:row>
      <xdr:rowOff>38100</xdr:rowOff>
    </xdr:from>
    <xdr:to>
      <xdr:col>6</xdr:col>
      <xdr:colOff>295275</xdr:colOff>
      <xdr:row>54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0761" t="25000" r="28417" b="30729"/>
        <a:stretch>
          <a:fillRect/>
        </a:stretch>
      </xdr:blipFill>
      <xdr:spPr>
        <a:xfrm>
          <a:off x="428625" y="8534400"/>
          <a:ext cx="3981450" cy="3067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361950</xdr:colOff>
      <xdr:row>57</xdr:row>
      <xdr:rowOff>28575</xdr:rowOff>
    </xdr:from>
    <xdr:to>
      <xdr:col>6</xdr:col>
      <xdr:colOff>342900</xdr:colOff>
      <xdr:row>66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29980" t="36067" r="28027" b="41406"/>
        <a:stretch>
          <a:fillRect/>
        </a:stretch>
      </xdr:blipFill>
      <xdr:spPr>
        <a:xfrm>
          <a:off x="361950" y="12392025"/>
          <a:ext cx="409575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" name="Text Box 17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" name="Text Box 17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" name="Text Box 17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" name="Text Box 17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5" name="Text Box 18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6" name="Text Box 18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7" name="Text Box 18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8" name="Text Box 18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9" name="Text Box 18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0" name="Text Box 18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1" name="Text Box 18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2" name="Text Box 18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3" name="Text Box 18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4" name="Text Box 18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5" name="Text Box 19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6" name="Text Box 19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7" name="Text Box 19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8" name="Text Box 19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9" name="Text Box 19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0" name="Text Box 19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1" name="Text Box 19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2" name="Text Box 19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3" name="Text Box 19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4" name="Text Box 19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5" name="Text Box 20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6" name="Text Box 20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7" name="Text Box 20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8" name="Text Box 20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9" name="Text Box 20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0" name="Text Box 20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1" name="Text Box 20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2" name="Text Box 20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3" name="Text Box 20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4" name="Text Box 20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5" name="Text Box 21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6" name="Text Box 21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7" name="Text Box 21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8" name="Text Box 21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9" name="Text Box 21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0" name="Text Box 21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1" name="Text Box 21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2" name="Text Box 21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3" name="Text Box 21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4" name="Text Box 21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5" name="Text Box 22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6" name="Text Box 22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7" name="Text Box 22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8" name="Text Box 22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9" name="Text Box 22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50" name="Text Box 22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51" name="Text Box 22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52" name="Text Box 22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53" name="Text Box 22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54" name="Text Box 22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55" name="Text Box 23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56" name="Text Box 23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57" name="Text Box 23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58" name="Text Box 23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59" name="Text Box 23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60" name="Text Box 23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61" name="Text Box 23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62" name="Text Box 23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63" name="Text Box 23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64" name="Text Box 23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65" name="Text Box 24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66" name="Text Box 24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67" name="Text Box 24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68" name="Text Box 24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69" name="Text Box 24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70" name="Text Box 24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71" name="Text Box 24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72" name="Text Box 24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73" name="Text Box 24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74" name="Text Box 24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75" name="Text Box 25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76" name="Text Box 25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77" name="Text Box 25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78" name="Text Box 25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79" name="Text Box 25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80" name="Text Box 25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81" name="Text Box 25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82" name="Text Box 25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83" name="Text Box 25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84" name="Text Box 25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85" name="Text Box 26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86" name="Text Box 26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87" name="Text Box 26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88" name="Text Box 26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89" name="Text Box 26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90" name="Text Box 26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91" name="Text Box 26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92" name="Text Box 26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93" name="Text Box 26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94" name="Text Box 26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95" name="Text Box 27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96" name="Text Box 27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97" name="Text Box 27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98" name="Text Box 27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99" name="Text Box 27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00" name="Text Box 27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01" name="Text Box 27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02" name="Text Box 27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03" name="Text Box 27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04" name="Text Box 27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05" name="Text Box 28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06" name="Text Box 28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07" name="Text Box 28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08" name="Text Box 28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09" name="Text Box 28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10" name="Text Box 28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11" name="Text Box 28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12" name="Text Box 28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13" name="Text Box 28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14" name="Text Box 28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15" name="Text Box 29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16" name="Text Box 29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17" name="Text Box 29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18" name="Text Box 29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19" name="Text Box 29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20" name="Text Box 29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21" name="Text Box 29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22" name="Text Box 29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23" name="Text Box 29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24" name="Text Box 29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25" name="Text Box 30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26" name="Text Box 30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27" name="Text Box 30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28" name="Text Box 30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29" name="Text Box 30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30" name="Text Box 30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31" name="Text Box 30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32" name="Text Box 30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33" name="Text Box 30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34" name="Text Box 30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35" name="Text Box 31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36" name="Text Box 31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37" name="Text Box 31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38" name="Text Box 31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39" name="Text Box 31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40" name="Text Box 31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41" name="Text Box 31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42" name="Text Box 31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43" name="Text Box 31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44" name="Text Box 31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45" name="Text Box 32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46" name="Text Box 32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47" name="Text Box 32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48" name="Text Box 32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49" name="Text Box 32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50" name="Text Box 32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51" name="Text Box 32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52" name="Text Box 32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53" name="Text Box 32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54" name="Text Box 32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55" name="Text Box 33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56" name="Text Box 33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57" name="Text Box 33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58" name="Text Box 33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59" name="Text Box 33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60" name="Text Box 33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61" name="Text Box 33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62" name="Text Box 33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63" name="Text Box 33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64" name="Text Box 33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65" name="Text Box 34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66" name="Text Box 34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67" name="Text Box 34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68" name="Text Box 34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69" name="Text Box 34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70" name="Text Box 34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71" name="Text Box 34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72" name="Text Box 34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73" name="Text Box 34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74" name="Text Box 34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75" name="Text Box 35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76" name="Text Box 35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77" name="Text Box 35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78" name="Text Box 35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79" name="Text Box 35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80" name="Text Box 35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81" name="Text Box 35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82" name="Text Box 35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83" name="Text Box 35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84" name="Text Box 35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85" name="Text Box 36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86" name="Text Box 36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87" name="Text Box 36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88" name="Text Box 36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89" name="Text Box 36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90" name="Text Box 36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91" name="Text Box 36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92" name="Text Box 36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93" name="Text Box 36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94" name="Text Box 36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95" name="Text Box 37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96" name="Text Box 37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97" name="Text Box 37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98" name="Text Box 37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199" name="Text Box 37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00" name="Text Box 37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01" name="Text Box 37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02" name="Text Box 37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03" name="Text Box 37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04" name="Text Box 37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05" name="Text Box 38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06" name="Text Box 38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07" name="Text Box 38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08" name="Text Box 38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09" name="Text Box 38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10" name="Text Box 38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11" name="Text Box 38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12" name="Text Box 38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13" name="Text Box 38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14" name="Text Box 38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15" name="Text Box 39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16" name="Text Box 39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17" name="Text Box 39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18" name="Text Box 39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19" name="Text Box 39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20" name="Text Box 39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21" name="Text Box 39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22" name="Text Box 39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23" name="Text Box 39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24" name="Text Box 39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25" name="Text Box 40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26" name="Text Box 40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27" name="Text Box 40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28" name="Text Box 40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29" name="Text Box 40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30" name="Text Box 40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31" name="Text Box 40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32" name="Text Box 40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33" name="Text Box 40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34" name="Text Box 40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35" name="Text Box 41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36" name="Text Box 41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37" name="Text Box 41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38" name="Text Box 41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39" name="Text Box 41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40" name="Text Box 41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41" name="Text Box 41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42" name="Text Box 41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43" name="Text Box 41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44" name="Text Box 41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45" name="Text Box 42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46" name="Text Box 42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47" name="Text Box 42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48" name="Text Box 42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49" name="Text Box 42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50" name="Text Box 42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51" name="Text Box 42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52" name="Text Box 42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53" name="Text Box 42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54" name="Text Box 42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55" name="Text Box 43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56" name="Text Box 43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57" name="Text Box 43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58" name="Text Box 43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59" name="Text Box 43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60" name="Text Box 43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61" name="Text Box 43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62" name="Text Box 43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63" name="Text Box 43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64" name="Text Box 43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65" name="Text Box 44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66" name="Text Box 44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67" name="Text Box 44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68" name="Text Box 44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69" name="Text Box 44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70" name="Text Box 44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71" name="Text Box 44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72" name="Text Box 44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73" name="Text Box 44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74" name="Text Box 44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75" name="Text Box 45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76" name="Text Box 45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77" name="Text Box 45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78" name="Text Box 45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79" name="Text Box 45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80" name="Text Box 45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81" name="Text Box 45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82" name="Text Box 45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83" name="Text Box 45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84" name="Text Box 45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85" name="Text Box 46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86" name="Text Box 46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87" name="Text Box 46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88" name="Text Box 46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89" name="Text Box 46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90" name="Text Box 46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91" name="Text Box 46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92" name="Text Box 46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93" name="Text Box 46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94" name="Text Box 46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95" name="Text Box 47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96" name="Text Box 47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97" name="Text Box 47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98" name="Text Box 47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299" name="Text Box 47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00" name="Text Box 47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01" name="Text Box 47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02" name="Text Box 47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03" name="Text Box 47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04" name="Text Box 47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05" name="Text Box 48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06" name="Text Box 48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07" name="Text Box 48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08" name="Text Box 48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09" name="Text Box 48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10" name="Text Box 48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11" name="Text Box 48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12" name="Text Box 48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13" name="Text Box 48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14" name="Text Box 48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15" name="Text Box 49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16" name="Text Box 49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17" name="Text Box 49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18" name="Text Box 49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19" name="Text Box 49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20" name="Text Box 49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21" name="Text Box 49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22" name="Text Box 49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23" name="Text Box 49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24" name="Text Box 49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25" name="Text Box 50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26" name="Text Box 50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27" name="Text Box 50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28" name="Text Box 50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29" name="Text Box 50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30" name="Text Box 50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31" name="Text Box 50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32" name="Text Box 50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33" name="Text Box 50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34" name="Text Box 50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35" name="Text Box 51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36" name="Text Box 51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37" name="Text Box 51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38" name="Text Box 51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39" name="Text Box 51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40" name="Text Box 51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41" name="Text Box 51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42" name="Text Box 51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43" name="Text Box 51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44" name="Text Box 51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45" name="Text Box 52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46" name="Text Box 52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47" name="Text Box 52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48" name="Text Box 52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49" name="Text Box 52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50" name="Text Box 52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51" name="Text Box 52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52" name="Text Box 52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53" name="Text Box 52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54" name="Text Box 52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55" name="Text Box 53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56" name="Text Box 53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57" name="Text Box 53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58" name="Text Box 53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59" name="Text Box 53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60" name="Text Box 53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61" name="Text Box 53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62" name="Text Box 53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63" name="Text Box 53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64" name="Text Box 53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65" name="Text Box 54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66" name="Text Box 54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67" name="Text Box 54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68" name="Text Box 54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69" name="Text Box 54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70" name="Text Box 54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71" name="Text Box 54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72" name="Text Box 54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73" name="Text Box 54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74" name="Text Box 54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75" name="Text Box 55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76" name="Text Box 55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77" name="Text Box 55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78" name="Text Box 55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79" name="Text Box 55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80" name="Text Box 55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81" name="Text Box 55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82" name="Text Box 55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83" name="Text Box 55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84" name="Text Box 55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85" name="Text Box 56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86" name="Text Box 56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87" name="Text Box 56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88" name="Text Box 56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89" name="Text Box 56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90" name="Text Box 56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91" name="Text Box 56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92" name="Text Box 56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93" name="Text Box 56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94" name="Text Box 56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95" name="Text Box 57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96" name="Text Box 57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97" name="Text Box 57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98" name="Text Box 57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399" name="Text Box 57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00" name="Text Box 57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01" name="Text Box 57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02" name="Text Box 57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03" name="Text Box 57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04" name="Text Box 57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05" name="Text Box 58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06" name="Text Box 58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07" name="Text Box 58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08" name="Text Box 58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09" name="Text Box 58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10" name="Text Box 58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11" name="Text Box 58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12" name="Text Box 58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13" name="Text Box 58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14" name="Text Box 58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15" name="Text Box 59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16" name="Text Box 59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17" name="Text Box 59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18" name="Text Box 59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19" name="Text Box 59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20" name="Text Box 59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21" name="Text Box 59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22" name="Text Box 59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23" name="Text Box 59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24" name="Text Box 59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25" name="Text Box 60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26" name="Text Box 60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27" name="Text Box 602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28" name="Text Box 603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29" name="Text Box 604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30" name="Text Box 605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31" name="Text Box 606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32" name="Text Box 607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33" name="Text Box 608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34" name="Text Box 609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35" name="Text Box 610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6</xdr:row>
      <xdr:rowOff>0</xdr:rowOff>
    </xdr:from>
    <xdr:ext cx="76200" cy="219075"/>
    <xdr:sp fLocksText="0">
      <xdr:nvSpPr>
        <xdr:cNvPr id="436" name="Text Box 611"/>
        <xdr:cNvSpPr txBox="1">
          <a:spLocks noChangeArrowheads="1"/>
        </xdr:cNvSpPr>
      </xdr:nvSpPr>
      <xdr:spPr>
        <a:xfrm>
          <a:off x="10229850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7</xdr:row>
      <xdr:rowOff>0</xdr:rowOff>
    </xdr:from>
    <xdr:ext cx="76200" cy="219075"/>
    <xdr:sp fLocksText="0">
      <xdr:nvSpPr>
        <xdr:cNvPr id="437" name="Text Box 612"/>
        <xdr:cNvSpPr txBox="1">
          <a:spLocks noChangeArrowheads="1"/>
        </xdr:cNvSpPr>
      </xdr:nvSpPr>
      <xdr:spPr>
        <a:xfrm>
          <a:off x="10229850" y="220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7</xdr:row>
      <xdr:rowOff>0</xdr:rowOff>
    </xdr:from>
    <xdr:ext cx="76200" cy="219075"/>
    <xdr:sp fLocksText="0">
      <xdr:nvSpPr>
        <xdr:cNvPr id="438" name="Text Box 613"/>
        <xdr:cNvSpPr txBox="1">
          <a:spLocks noChangeArrowheads="1"/>
        </xdr:cNvSpPr>
      </xdr:nvSpPr>
      <xdr:spPr>
        <a:xfrm>
          <a:off x="10229850" y="220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7</xdr:row>
      <xdr:rowOff>0</xdr:rowOff>
    </xdr:from>
    <xdr:ext cx="76200" cy="219075"/>
    <xdr:sp fLocksText="0">
      <xdr:nvSpPr>
        <xdr:cNvPr id="439" name="Text Box 614"/>
        <xdr:cNvSpPr txBox="1">
          <a:spLocks noChangeArrowheads="1"/>
        </xdr:cNvSpPr>
      </xdr:nvSpPr>
      <xdr:spPr>
        <a:xfrm>
          <a:off x="10229850" y="220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7</xdr:row>
      <xdr:rowOff>0</xdr:rowOff>
    </xdr:from>
    <xdr:ext cx="76200" cy="219075"/>
    <xdr:sp fLocksText="0">
      <xdr:nvSpPr>
        <xdr:cNvPr id="440" name="Text Box 615"/>
        <xdr:cNvSpPr txBox="1">
          <a:spLocks noChangeArrowheads="1"/>
        </xdr:cNvSpPr>
      </xdr:nvSpPr>
      <xdr:spPr>
        <a:xfrm>
          <a:off x="10229850" y="220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8</xdr:row>
      <xdr:rowOff>0</xdr:rowOff>
    </xdr:from>
    <xdr:ext cx="76200" cy="219075"/>
    <xdr:sp fLocksText="0">
      <xdr:nvSpPr>
        <xdr:cNvPr id="441" name="Text Box 616"/>
        <xdr:cNvSpPr txBox="1">
          <a:spLocks noChangeArrowheads="1"/>
        </xdr:cNvSpPr>
      </xdr:nvSpPr>
      <xdr:spPr>
        <a:xfrm>
          <a:off x="10229850" y="2381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8</xdr:row>
      <xdr:rowOff>0</xdr:rowOff>
    </xdr:from>
    <xdr:ext cx="76200" cy="219075"/>
    <xdr:sp fLocksText="0">
      <xdr:nvSpPr>
        <xdr:cNvPr id="442" name="Text Box 617"/>
        <xdr:cNvSpPr txBox="1">
          <a:spLocks noChangeArrowheads="1"/>
        </xdr:cNvSpPr>
      </xdr:nvSpPr>
      <xdr:spPr>
        <a:xfrm>
          <a:off x="10229850" y="2381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8</xdr:row>
      <xdr:rowOff>0</xdr:rowOff>
    </xdr:from>
    <xdr:ext cx="76200" cy="219075"/>
    <xdr:sp fLocksText="0">
      <xdr:nvSpPr>
        <xdr:cNvPr id="443" name="Text Box 618"/>
        <xdr:cNvSpPr txBox="1">
          <a:spLocks noChangeArrowheads="1"/>
        </xdr:cNvSpPr>
      </xdr:nvSpPr>
      <xdr:spPr>
        <a:xfrm>
          <a:off x="10229850" y="2381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8</xdr:row>
      <xdr:rowOff>0</xdr:rowOff>
    </xdr:from>
    <xdr:ext cx="76200" cy="219075"/>
    <xdr:sp fLocksText="0">
      <xdr:nvSpPr>
        <xdr:cNvPr id="444" name="Text Box 619"/>
        <xdr:cNvSpPr txBox="1">
          <a:spLocks noChangeArrowheads="1"/>
        </xdr:cNvSpPr>
      </xdr:nvSpPr>
      <xdr:spPr>
        <a:xfrm>
          <a:off x="10229850" y="2381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9</xdr:row>
      <xdr:rowOff>0</xdr:rowOff>
    </xdr:from>
    <xdr:ext cx="76200" cy="219075"/>
    <xdr:sp fLocksText="0">
      <xdr:nvSpPr>
        <xdr:cNvPr id="445" name="Text Box 620"/>
        <xdr:cNvSpPr txBox="1">
          <a:spLocks noChangeArrowheads="1"/>
        </xdr:cNvSpPr>
      </xdr:nvSpPr>
      <xdr:spPr>
        <a:xfrm>
          <a:off x="10229850" y="2562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9</xdr:row>
      <xdr:rowOff>0</xdr:rowOff>
    </xdr:from>
    <xdr:ext cx="76200" cy="219075"/>
    <xdr:sp fLocksText="0">
      <xdr:nvSpPr>
        <xdr:cNvPr id="446" name="Text Box 621"/>
        <xdr:cNvSpPr txBox="1">
          <a:spLocks noChangeArrowheads="1"/>
        </xdr:cNvSpPr>
      </xdr:nvSpPr>
      <xdr:spPr>
        <a:xfrm>
          <a:off x="10229850" y="2562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9</xdr:row>
      <xdr:rowOff>0</xdr:rowOff>
    </xdr:from>
    <xdr:ext cx="76200" cy="219075"/>
    <xdr:sp fLocksText="0">
      <xdr:nvSpPr>
        <xdr:cNvPr id="447" name="Text Box 622"/>
        <xdr:cNvSpPr txBox="1">
          <a:spLocks noChangeArrowheads="1"/>
        </xdr:cNvSpPr>
      </xdr:nvSpPr>
      <xdr:spPr>
        <a:xfrm>
          <a:off x="10229850" y="2562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9</xdr:row>
      <xdr:rowOff>28575</xdr:rowOff>
    </xdr:from>
    <xdr:ext cx="76200" cy="219075"/>
    <xdr:sp fLocksText="0">
      <xdr:nvSpPr>
        <xdr:cNvPr id="448" name="Text Box 623"/>
        <xdr:cNvSpPr txBox="1">
          <a:spLocks noChangeArrowheads="1"/>
        </xdr:cNvSpPr>
      </xdr:nvSpPr>
      <xdr:spPr>
        <a:xfrm>
          <a:off x="10229850" y="2590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10</xdr:row>
      <xdr:rowOff>0</xdr:rowOff>
    </xdr:from>
    <xdr:ext cx="76200" cy="219075"/>
    <xdr:sp fLocksText="0">
      <xdr:nvSpPr>
        <xdr:cNvPr id="449" name="Text Box 624"/>
        <xdr:cNvSpPr txBox="1">
          <a:spLocks noChangeArrowheads="1"/>
        </xdr:cNvSpPr>
      </xdr:nvSpPr>
      <xdr:spPr>
        <a:xfrm>
          <a:off x="102298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10</xdr:row>
      <xdr:rowOff>0</xdr:rowOff>
    </xdr:from>
    <xdr:ext cx="76200" cy="219075"/>
    <xdr:sp fLocksText="0">
      <xdr:nvSpPr>
        <xdr:cNvPr id="450" name="Text Box 625"/>
        <xdr:cNvSpPr txBox="1">
          <a:spLocks noChangeArrowheads="1"/>
        </xdr:cNvSpPr>
      </xdr:nvSpPr>
      <xdr:spPr>
        <a:xfrm>
          <a:off x="102298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10</xdr:row>
      <xdr:rowOff>0</xdr:rowOff>
    </xdr:from>
    <xdr:ext cx="76200" cy="219075"/>
    <xdr:sp fLocksText="0">
      <xdr:nvSpPr>
        <xdr:cNvPr id="451" name="Text Box 626"/>
        <xdr:cNvSpPr txBox="1">
          <a:spLocks noChangeArrowheads="1"/>
        </xdr:cNvSpPr>
      </xdr:nvSpPr>
      <xdr:spPr>
        <a:xfrm>
          <a:off x="102298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10</xdr:row>
      <xdr:rowOff>0</xdr:rowOff>
    </xdr:from>
    <xdr:ext cx="76200" cy="219075"/>
    <xdr:sp fLocksText="0">
      <xdr:nvSpPr>
        <xdr:cNvPr id="452" name="Text Box 627"/>
        <xdr:cNvSpPr txBox="1">
          <a:spLocks noChangeArrowheads="1"/>
        </xdr:cNvSpPr>
      </xdr:nvSpPr>
      <xdr:spPr>
        <a:xfrm>
          <a:off x="102298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11</xdr:row>
      <xdr:rowOff>0</xdr:rowOff>
    </xdr:from>
    <xdr:ext cx="76200" cy="219075"/>
    <xdr:sp fLocksText="0">
      <xdr:nvSpPr>
        <xdr:cNvPr id="453" name="Text Box 628"/>
        <xdr:cNvSpPr txBox="1">
          <a:spLocks noChangeArrowheads="1"/>
        </xdr:cNvSpPr>
      </xdr:nvSpPr>
      <xdr:spPr>
        <a:xfrm>
          <a:off x="10229850" y="2924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11</xdr:row>
      <xdr:rowOff>0</xdr:rowOff>
    </xdr:from>
    <xdr:ext cx="76200" cy="219075"/>
    <xdr:sp fLocksText="0">
      <xdr:nvSpPr>
        <xdr:cNvPr id="454" name="Text Box 629"/>
        <xdr:cNvSpPr txBox="1">
          <a:spLocks noChangeArrowheads="1"/>
        </xdr:cNvSpPr>
      </xdr:nvSpPr>
      <xdr:spPr>
        <a:xfrm>
          <a:off x="10229850" y="2924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11</xdr:row>
      <xdr:rowOff>0</xdr:rowOff>
    </xdr:from>
    <xdr:ext cx="76200" cy="219075"/>
    <xdr:sp fLocksText="0">
      <xdr:nvSpPr>
        <xdr:cNvPr id="455" name="Text Box 630"/>
        <xdr:cNvSpPr txBox="1">
          <a:spLocks noChangeArrowheads="1"/>
        </xdr:cNvSpPr>
      </xdr:nvSpPr>
      <xdr:spPr>
        <a:xfrm>
          <a:off x="10229850" y="2924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11</xdr:row>
      <xdr:rowOff>0</xdr:rowOff>
    </xdr:from>
    <xdr:ext cx="76200" cy="219075"/>
    <xdr:sp fLocksText="0">
      <xdr:nvSpPr>
        <xdr:cNvPr id="456" name="Text Box 631"/>
        <xdr:cNvSpPr txBox="1">
          <a:spLocks noChangeArrowheads="1"/>
        </xdr:cNvSpPr>
      </xdr:nvSpPr>
      <xdr:spPr>
        <a:xfrm>
          <a:off x="10229850" y="2924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12</xdr:row>
      <xdr:rowOff>0</xdr:rowOff>
    </xdr:from>
    <xdr:ext cx="76200" cy="219075"/>
    <xdr:sp fLocksText="0">
      <xdr:nvSpPr>
        <xdr:cNvPr id="457" name="Text Box 632"/>
        <xdr:cNvSpPr txBox="1">
          <a:spLocks noChangeArrowheads="1"/>
        </xdr:cNvSpPr>
      </xdr:nvSpPr>
      <xdr:spPr>
        <a:xfrm>
          <a:off x="10229850" y="310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12</xdr:row>
      <xdr:rowOff>0</xdr:rowOff>
    </xdr:from>
    <xdr:ext cx="76200" cy="219075"/>
    <xdr:sp fLocksText="0">
      <xdr:nvSpPr>
        <xdr:cNvPr id="458" name="Text Box 633"/>
        <xdr:cNvSpPr txBox="1">
          <a:spLocks noChangeArrowheads="1"/>
        </xdr:cNvSpPr>
      </xdr:nvSpPr>
      <xdr:spPr>
        <a:xfrm>
          <a:off x="10229850" y="310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12</xdr:row>
      <xdr:rowOff>0</xdr:rowOff>
    </xdr:from>
    <xdr:ext cx="76200" cy="219075"/>
    <xdr:sp fLocksText="0">
      <xdr:nvSpPr>
        <xdr:cNvPr id="459" name="Text Box 634"/>
        <xdr:cNvSpPr txBox="1">
          <a:spLocks noChangeArrowheads="1"/>
        </xdr:cNvSpPr>
      </xdr:nvSpPr>
      <xdr:spPr>
        <a:xfrm>
          <a:off x="10229850" y="310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12</xdr:row>
      <xdr:rowOff>0</xdr:rowOff>
    </xdr:from>
    <xdr:ext cx="76200" cy="219075"/>
    <xdr:sp fLocksText="0">
      <xdr:nvSpPr>
        <xdr:cNvPr id="460" name="Text Box 635"/>
        <xdr:cNvSpPr txBox="1">
          <a:spLocks noChangeArrowheads="1"/>
        </xdr:cNvSpPr>
      </xdr:nvSpPr>
      <xdr:spPr>
        <a:xfrm>
          <a:off x="10229850" y="310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13</xdr:row>
      <xdr:rowOff>0</xdr:rowOff>
    </xdr:from>
    <xdr:ext cx="76200" cy="219075"/>
    <xdr:sp fLocksText="0">
      <xdr:nvSpPr>
        <xdr:cNvPr id="461" name="Text Box 636"/>
        <xdr:cNvSpPr txBox="1">
          <a:spLocks noChangeArrowheads="1"/>
        </xdr:cNvSpPr>
      </xdr:nvSpPr>
      <xdr:spPr>
        <a:xfrm>
          <a:off x="10229850" y="3286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13</xdr:row>
      <xdr:rowOff>0</xdr:rowOff>
    </xdr:from>
    <xdr:ext cx="76200" cy="219075"/>
    <xdr:sp fLocksText="0">
      <xdr:nvSpPr>
        <xdr:cNvPr id="462" name="Text Box 637"/>
        <xdr:cNvSpPr txBox="1">
          <a:spLocks noChangeArrowheads="1"/>
        </xdr:cNvSpPr>
      </xdr:nvSpPr>
      <xdr:spPr>
        <a:xfrm>
          <a:off x="10229850" y="3286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13</xdr:row>
      <xdr:rowOff>0</xdr:rowOff>
    </xdr:from>
    <xdr:ext cx="76200" cy="219075"/>
    <xdr:sp fLocksText="0">
      <xdr:nvSpPr>
        <xdr:cNvPr id="463" name="Text Box 638"/>
        <xdr:cNvSpPr txBox="1">
          <a:spLocks noChangeArrowheads="1"/>
        </xdr:cNvSpPr>
      </xdr:nvSpPr>
      <xdr:spPr>
        <a:xfrm>
          <a:off x="10229850" y="3286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13</xdr:row>
      <xdr:rowOff>0</xdr:rowOff>
    </xdr:from>
    <xdr:ext cx="76200" cy="219075"/>
    <xdr:sp fLocksText="0">
      <xdr:nvSpPr>
        <xdr:cNvPr id="464" name="Text Box 639"/>
        <xdr:cNvSpPr txBox="1">
          <a:spLocks noChangeArrowheads="1"/>
        </xdr:cNvSpPr>
      </xdr:nvSpPr>
      <xdr:spPr>
        <a:xfrm>
          <a:off x="10229850" y="3286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14</xdr:row>
      <xdr:rowOff>0</xdr:rowOff>
    </xdr:from>
    <xdr:ext cx="76200" cy="219075"/>
    <xdr:sp fLocksText="0">
      <xdr:nvSpPr>
        <xdr:cNvPr id="465" name="Text Box 640"/>
        <xdr:cNvSpPr txBox="1">
          <a:spLocks noChangeArrowheads="1"/>
        </xdr:cNvSpPr>
      </xdr:nvSpPr>
      <xdr:spPr>
        <a:xfrm>
          <a:off x="10229850" y="346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14</xdr:row>
      <xdr:rowOff>0</xdr:rowOff>
    </xdr:from>
    <xdr:ext cx="76200" cy="219075"/>
    <xdr:sp fLocksText="0">
      <xdr:nvSpPr>
        <xdr:cNvPr id="466" name="Text Box 641"/>
        <xdr:cNvSpPr txBox="1">
          <a:spLocks noChangeArrowheads="1"/>
        </xdr:cNvSpPr>
      </xdr:nvSpPr>
      <xdr:spPr>
        <a:xfrm>
          <a:off x="10229850" y="346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14</xdr:row>
      <xdr:rowOff>0</xdr:rowOff>
    </xdr:from>
    <xdr:ext cx="76200" cy="219075"/>
    <xdr:sp fLocksText="0">
      <xdr:nvSpPr>
        <xdr:cNvPr id="467" name="Text Box 642"/>
        <xdr:cNvSpPr txBox="1">
          <a:spLocks noChangeArrowheads="1"/>
        </xdr:cNvSpPr>
      </xdr:nvSpPr>
      <xdr:spPr>
        <a:xfrm>
          <a:off x="10229850" y="346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14</xdr:row>
      <xdr:rowOff>0</xdr:rowOff>
    </xdr:from>
    <xdr:ext cx="76200" cy="219075"/>
    <xdr:sp fLocksText="0">
      <xdr:nvSpPr>
        <xdr:cNvPr id="468" name="Text Box 643"/>
        <xdr:cNvSpPr txBox="1">
          <a:spLocks noChangeArrowheads="1"/>
        </xdr:cNvSpPr>
      </xdr:nvSpPr>
      <xdr:spPr>
        <a:xfrm>
          <a:off x="10229850" y="346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15</xdr:row>
      <xdr:rowOff>0</xdr:rowOff>
    </xdr:from>
    <xdr:ext cx="76200" cy="219075"/>
    <xdr:sp fLocksText="0">
      <xdr:nvSpPr>
        <xdr:cNvPr id="469" name="Text Box 644"/>
        <xdr:cNvSpPr txBox="1">
          <a:spLocks noChangeArrowheads="1"/>
        </xdr:cNvSpPr>
      </xdr:nvSpPr>
      <xdr:spPr>
        <a:xfrm>
          <a:off x="10229850" y="364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15</xdr:row>
      <xdr:rowOff>0</xdr:rowOff>
    </xdr:from>
    <xdr:ext cx="76200" cy="219075"/>
    <xdr:sp fLocksText="0">
      <xdr:nvSpPr>
        <xdr:cNvPr id="470" name="Text Box 645"/>
        <xdr:cNvSpPr txBox="1">
          <a:spLocks noChangeArrowheads="1"/>
        </xdr:cNvSpPr>
      </xdr:nvSpPr>
      <xdr:spPr>
        <a:xfrm>
          <a:off x="10229850" y="364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15</xdr:row>
      <xdr:rowOff>0</xdr:rowOff>
    </xdr:from>
    <xdr:ext cx="76200" cy="219075"/>
    <xdr:sp fLocksText="0">
      <xdr:nvSpPr>
        <xdr:cNvPr id="471" name="Text Box 646"/>
        <xdr:cNvSpPr txBox="1">
          <a:spLocks noChangeArrowheads="1"/>
        </xdr:cNvSpPr>
      </xdr:nvSpPr>
      <xdr:spPr>
        <a:xfrm>
          <a:off x="10229850" y="364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15</xdr:row>
      <xdr:rowOff>0</xdr:rowOff>
    </xdr:from>
    <xdr:ext cx="76200" cy="219075"/>
    <xdr:sp fLocksText="0">
      <xdr:nvSpPr>
        <xdr:cNvPr id="472" name="Text Box 647"/>
        <xdr:cNvSpPr txBox="1">
          <a:spLocks noChangeArrowheads="1"/>
        </xdr:cNvSpPr>
      </xdr:nvSpPr>
      <xdr:spPr>
        <a:xfrm>
          <a:off x="10229850" y="364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16</xdr:row>
      <xdr:rowOff>0</xdr:rowOff>
    </xdr:from>
    <xdr:ext cx="76200" cy="219075"/>
    <xdr:sp fLocksText="0">
      <xdr:nvSpPr>
        <xdr:cNvPr id="473" name="Text Box 648"/>
        <xdr:cNvSpPr txBox="1">
          <a:spLocks noChangeArrowheads="1"/>
        </xdr:cNvSpPr>
      </xdr:nvSpPr>
      <xdr:spPr>
        <a:xfrm>
          <a:off x="10229850" y="383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16</xdr:row>
      <xdr:rowOff>0</xdr:rowOff>
    </xdr:from>
    <xdr:ext cx="76200" cy="219075"/>
    <xdr:sp fLocksText="0">
      <xdr:nvSpPr>
        <xdr:cNvPr id="474" name="Text Box 649"/>
        <xdr:cNvSpPr txBox="1">
          <a:spLocks noChangeArrowheads="1"/>
        </xdr:cNvSpPr>
      </xdr:nvSpPr>
      <xdr:spPr>
        <a:xfrm>
          <a:off x="10229850" y="383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16</xdr:row>
      <xdr:rowOff>0</xdr:rowOff>
    </xdr:from>
    <xdr:ext cx="76200" cy="219075"/>
    <xdr:sp fLocksText="0">
      <xdr:nvSpPr>
        <xdr:cNvPr id="475" name="Text Box 650"/>
        <xdr:cNvSpPr txBox="1">
          <a:spLocks noChangeArrowheads="1"/>
        </xdr:cNvSpPr>
      </xdr:nvSpPr>
      <xdr:spPr>
        <a:xfrm>
          <a:off x="10229850" y="383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16</xdr:row>
      <xdr:rowOff>0</xdr:rowOff>
    </xdr:from>
    <xdr:ext cx="76200" cy="219075"/>
    <xdr:sp fLocksText="0">
      <xdr:nvSpPr>
        <xdr:cNvPr id="476" name="Text Box 651"/>
        <xdr:cNvSpPr txBox="1">
          <a:spLocks noChangeArrowheads="1"/>
        </xdr:cNvSpPr>
      </xdr:nvSpPr>
      <xdr:spPr>
        <a:xfrm>
          <a:off x="10229850" y="3838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17</xdr:row>
      <xdr:rowOff>0</xdr:rowOff>
    </xdr:from>
    <xdr:ext cx="76200" cy="219075"/>
    <xdr:sp fLocksText="0">
      <xdr:nvSpPr>
        <xdr:cNvPr id="477" name="Text Box 652"/>
        <xdr:cNvSpPr txBox="1">
          <a:spLocks noChangeArrowheads="1"/>
        </xdr:cNvSpPr>
      </xdr:nvSpPr>
      <xdr:spPr>
        <a:xfrm>
          <a:off x="10229850" y="4019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17</xdr:row>
      <xdr:rowOff>0</xdr:rowOff>
    </xdr:from>
    <xdr:ext cx="76200" cy="219075"/>
    <xdr:sp fLocksText="0">
      <xdr:nvSpPr>
        <xdr:cNvPr id="478" name="Text Box 653"/>
        <xdr:cNvSpPr txBox="1">
          <a:spLocks noChangeArrowheads="1"/>
        </xdr:cNvSpPr>
      </xdr:nvSpPr>
      <xdr:spPr>
        <a:xfrm>
          <a:off x="10229850" y="4019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17</xdr:row>
      <xdr:rowOff>0</xdr:rowOff>
    </xdr:from>
    <xdr:ext cx="76200" cy="219075"/>
    <xdr:sp fLocksText="0">
      <xdr:nvSpPr>
        <xdr:cNvPr id="479" name="Text Box 654"/>
        <xdr:cNvSpPr txBox="1">
          <a:spLocks noChangeArrowheads="1"/>
        </xdr:cNvSpPr>
      </xdr:nvSpPr>
      <xdr:spPr>
        <a:xfrm>
          <a:off x="10229850" y="4019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17</xdr:row>
      <xdr:rowOff>0</xdr:rowOff>
    </xdr:from>
    <xdr:ext cx="76200" cy="219075"/>
    <xdr:sp fLocksText="0">
      <xdr:nvSpPr>
        <xdr:cNvPr id="480" name="Text Box 655"/>
        <xdr:cNvSpPr txBox="1">
          <a:spLocks noChangeArrowheads="1"/>
        </xdr:cNvSpPr>
      </xdr:nvSpPr>
      <xdr:spPr>
        <a:xfrm>
          <a:off x="10229850" y="4019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18</xdr:row>
      <xdr:rowOff>0</xdr:rowOff>
    </xdr:from>
    <xdr:ext cx="76200" cy="219075"/>
    <xdr:sp fLocksText="0">
      <xdr:nvSpPr>
        <xdr:cNvPr id="481" name="Text Box 656"/>
        <xdr:cNvSpPr txBox="1">
          <a:spLocks noChangeArrowheads="1"/>
        </xdr:cNvSpPr>
      </xdr:nvSpPr>
      <xdr:spPr>
        <a:xfrm>
          <a:off x="10229850" y="4200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18</xdr:row>
      <xdr:rowOff>0</xdr:rowOff>
    </xdr:from>
    <xdr:ext cx="76200" cy="219075"/>
    <xdr:sp fLocksText="0">
      <xdr:nvSpPr>
        <xdr:cNvPr id="482" name="Text Box 657"/>
        <xdr:cNvSpPr txBox="1">
          <a:spLocks noChangeArrowheads="1"/>
        </xdr:cNvSpPr>
      </xdr:nvSpPr>
      <xdr:spPr>
        <a:xfrm>
          <a:off x="10229850" y="4200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18</xdr:row>
      <xdr:rowOff>0</xdr:rowOff>
    </xdr:from>
    <xdr:ext cx="76200" cy="219075"/>
    <xdr:sp fLocksText="0">
      <xdr:nvSpPr>
        <xdr:cNvPr id="483" name="Text Box 658"/>
        <xdr:cNvSpPr txBox="1">
          <a:spLocks noChangeArrowheads="1"/>
        </xdr:cNvSpPr>
      </xdr:nvSpPr>
      <xdr:spPr>
        <a:xfrm>
          <a:off x="10229850" y="4200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18</xdr:row>
      <xdr:rowOff>0</xdr:rowOff>
    </xdr:from>
    <xdr:ext cx="76200" cy="219075"/>
    <xdr:sp fLocksText="0">
      <xdr:nvSpPr>
        <xdr:cNvPr id="484" name="Text Box 659"/>
        <xdr:cNvSpPr txBox="1">
          <a:spLocks noChangeArrowheads="1"/>
        </xdr:cNvSpPr>
      </xdr:nvSpPr>
      <xdr:spPr>
        <a:xfrm>
          <a:off x="10229850" y="4200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19</xdr:row>
      <xdr:rowOff>0</xdr:rowOff>
    </xdr:from>
    <xdr:ext cx="76200" cy="219075"/>
    <xdr:sp fLocksText="0">
      <xdr:nvSpPr>
        <xdr:cNvPr id="485" name="Text Box 660"/>
        <xdr:cNvSpPr txBox="1">
          <a:spLocks noChangeArrowheads="1"/>
        </xdr:cNvSpPr>
      </xdr:nvSpPr>
      <xdr:spPr>
        <a:xfrm>
          <a:off x="10229850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19</xdr:row>
      <xdr:rowOff>0</xdr:rowOff>
    </xdr:from>
    <xdr:ext cx="76200" cy="219075"/>
    <xdr:sp fLocksText="0">
      <xdr:nvSpPr>
        <xdr:cNvPr id="486" name="Text Box 661"/>
        <xdr:cNvSpPr txBox="1">
          <a:spLocks noChangeArrowheads="1"/>
        </xdr:cNvSpPr>
      </xdr:nvSpPr>
      <xdr:spPr>
        <a:xfrm>
          <a:off x="10229850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19</xdr:row>
      <xdr:rowOff>0</xdr:rowOff>
    </xdr:from>
    <xdr:ext cx="76200" cy="219075"/>
    <xdr:sp fLocksText="0">
      <xdr:nvSpPr>
        <xdr:cNvPr id="487" name="Text Box 662"/>
        <xdr:cNvSpPr txBox="1">
          <a:spLocks noChangeArrowheads="1"/>
        </xdr:cNvSpPr>
      </xdr:nvSpPr>
      <xdr:spPr>
        <a:xfrm>
          <a:off x="10229850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19</xdr:row>
      <xdr:rowOff>0</xdr:rowOff>
    </xdr:from>
    <xdr:ext cx="76200" cy="219075"/>
    <xdr:sp fLocksText="0">
      <xdr:nvSpPr>
        <xdr:cNvPr id="488" name="Text Box 663"/>
        <xdr:cNvSpPr txBox="1">
          <a:spLocks noChangeArrowheads="1"/>
        </xdr:cNvSpPr>
      </xdr:nvSpPr>
      <xdr:spPr>
        <a:xfrm>
          <a:off x="10229850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20</xdr:row>
      <xdr:rowOff>0</xdr:rowOff>
    </xdr:from>
    <xdr:ext cx="76200" cy="219075"/>
    <xdr:sp fLocksText="0">
      <xdr:nvSpPr>
        <xdr:cNvPr id="489" name="Text Box 664"/>
        <xdr:cNvSpPr txBox="1">
          <a:spLocks noChangeArrowheads="1"/>
        </xdr:cNvSpPr>
      </xdr:nvSpPr>
      <xdr:spPr>
        <a:xfrm>
          <a:off x="10229850" y="4562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20</xdr:row>
      <xdr:rowOff>0</xdr:rowOff>
    </xdr:from>
    <xdr:ext cx="76200" cy="219075"/>
    <xdr:sp fLocksText="0">
      <xdr:nvSpPr>
        <xdr:cNvPr id="490" name="Text Box 665"/>
        <xdr:cNvSpPr txBox="1">
          <a:spLocks noChangeArrowheads="1"/>
        </xdr:cNvSpPr>
      </xdr:nvSpPr>
      <xdr:spPr>
        <a:xfrm>
          <a:off x="10229850" y="4562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20</xdr:row>
      <xdr:rowOff>0</xdr:rowOff>
    </xdr:from>
    <xdr:ext cx="76200" cy="219075"/>
    <xdr:sp fLocksText="0">
      <xdr:nvSpPr>
        <xdr:cNvPr id="491" name="Text Box 666"/>
        <xdr:cNvSpPr txBox="1">
          <a:spLocks noChangeArrowheads="1"/>
        </xdr:cNvSpPr>
      </xdr:nvSpPr>
      <xdr:spPr>
        <a:xfrm>
          <a:off x="10229850" y="4562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20</xdr:row>
      <xdr:rowOff>0</xdr:rowOff>
    </xdr:from>
    <xdr:ext cx="76200" cy="219075"/>
    <xdr:sp fLocksText="0">
      <xdr:nvSpPr>
        <xdr:cNvPr id="492" name="Text Box 667"/>
        <xdr:cNvSpPr txBox="1">
          <a:spLocks noChangeArrowheads="1"/>
        </xdr:cNvSpPr>
      </xdr:nvSpPr>
      <xdr:spPr>
        <a:xfrm>
          <a:off x="10229850" y="4562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21</xdr:row>
      <xdr:rowOff>0</xdr:rowOff>
    </xdr:from>
    <xdr:ext cx="76200" cy="219075"/>
    <xdr:sp fLocksText="0">
      <xdr:nvSpPr>
        <xdr:cNvPr id="493" name="Text Box 668"/>
        <xdr:cNvSpPr txBox="1">
          <a:spLocks noChangeArrowheads="1"/>
        </xdr:cNvSpPr>
      </xdr:nvSpPr>
      <xdr:spPr>
        <a:xfrm>
          <a:off x="1022985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21</xdr:row>
      <xdr:rowOff>0</xdr:rowOff>
    </xdr:from>
    <xdr:ext cx="76200" cy="219075"/>
    <xdr:sp fLocksText="0">
      <xdr:nvSpPr>
        <xdr:cNvPr id="494" name="Text Box 669"/>
        <xdr:cNvSpPr txBox="1">
          <a:spLocks noChangeArrowheads="1"/>
        </xdr:cNvSpPr>
      </xdr:nvSpPr>
      <xdr:spPr>
        <a:xfrm>
          <a:off x="1022985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21</xdr:row>
      <xdr:rowOff>0</xdr:rowOff>
    </xdr:from>
    <xdr:ext cx="76200" cy="219075"/>
    <xdr:sp fLocksText="0">
      <xdr:nvSpPr>
        <xdr:cNvPr id="495" name="Text Box 670"/>
        <xdr:cNvSpPr txBox="1">
          <a:spLocks noChangeArrowheads="1"/>
        </xdr:cNvSpPr>
      </xdr:nvSpPr>
      <xdr:spPr>
        <a:xfrm>
          <a:off x="1022985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21</xdr:row>
      <xdr:rowOff>0</xdr:rowOff>
    </xdr:from>
    <xdr:ext cx="76200" cy="219075"/>
    <xdr:sp fLocksText="0">
      <xdr:nvSpPr>
        <xdr:cNvPr id="496" name="Text Box 671"/>
        <xdr:cNvSpPr txBox="1">
          <a:spLocks noChangeArrowheads="1"/>
        </xdr:cNvSpPr>
      </xdr:nvSpPr>
      <xdr:spPr>
        <a:xfrm>
          <a:off x="10229850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22</xdr:row>
      <xdr:rowOff>0</xdr:rowOff>
    </xdr:from>
    <xdr:ext cx="76200" cy="219075"/>
    <xdr:sp fLocksText="0">
      <xdr:nvSpPr>
        <xdr:cNvPr id="497" name="Text Box 672"/>
        <xdr:cNvSpPr txBox="1">
          <a:spLocks noChangeArrowheads="1"/>
        </xdr:cNvSpPr>
      </xdr:nvSpPr>
      <xdr:spPr>
        <a:xfrm>
          <a:off x="10229850" y="4924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22</xdr:row>
      <xdr:rowOff>0</xdr:rowOff>
    </xdr:from>
    <xdr:ext cx="76200" cy="219075"/>
    <xdr:sp fLocksText="0">
      <xdr:nvSpPr>
        <xdr:cNvPr id="498" name="Text Box 673"/>
        <xdr:cNvSpPr txBox="1">
          <a:spLocks noChangeArrowheads="1"/>
        </xdr:cNvSpPr>
      </xdr:nvSpPr>
      <xdr:spPr>
        <a:xfrm>
          <a:off x="10229850" y="4924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22</xdr:row>
      <xdr:rowOff>0</xdr:rowOff>
    </xdr:from>
    <xdr:ext cx="76200" cy="219075"/>
    <xdr:sp fLocksText="0">
      <xdr:nvSpPr>
        <xdr:cNvPr id="499" name="Text Box 674"/>
        <xdr:cNvSpPr txBox="1">
          <a:spLocks noChangeArrowheads="1"/>
        </xdr:cNvSpPr>
      </xdr:nvSpPr>
      <xdr:spPr>
        <a:xfrm>
          <a:off x="10229850" y="4924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22</xdr:row>
      <xdr:rowOff>0</xdr:rowOff>
    </xdr:from>
    <xdr:ext cx="76200" cy="219075"/>
    <xdr:sp fLocksText="0">
      <xdr:nvSpPr>
        <xdr:cNvPr id="500" name="Text Box 675"/>
        <xdr:cNvSpPr txBox="1">
          <a:spLocks noChangeArrowheads="1"/>
        </xdr:cNvSpPr>
      </xdr:nvSpPr>
      <xdr:spPr>
        <a:xfrm>
          <a:off x="10229850" y="4924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23</xdr:row>
      <xdr:rowOff>0</xdr:rowOff>
    </xdr:from>
    <xdr:ext cx="76200" cy="219075"/>
    <xdr:sp fLocksText="0">
      <xdr:nvSpPr>
        <xdr:cNvPr id="501" name="Text Box 676"/>
        <xdr:cNvSpPr txBox="1">
          <a:spLocks noChangeArrowheads="1"/>
        </xdr:cNvSpPr>
      </xdr:nvSpPr>
      <xdr:spPr>
        <a:xfrm>
          <a:off x="1022985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23</xdr:row>
      <xdr:rowOff>0</xdr:rowOff>
    </xdr:from>
    <xdr:ext cx="76200" cy="219075"/>
    <xdr:sp fLocksText="0">
      <xdr:nvSpPr>
        <xdr:cNvPr id="502" name="Text Box 677"/>
        <xdr:cNvSpPr txBox="1">
          <a:spLocks noChangeArrowheads="1"/>
        </xdr:cNvSpPr>
      </xdr:nvSpPr>
      <xdr:spPr>
        <a:xfrm>
          <a:off x="1022985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23</xdr:row>
      <xdr:rowOff>0</xdr:rowOff>
    </xdr:from>
    <xdr:ext cx="76200" cy="219075"/>
    <xdr:sp fLocksText="0">
      <xdr:nvSpPr>
        <xdr:cNvPr id="503" name="Text Box 678"/>
        <xdr:cNvSpPr txBox="1">
          <a:spLocks noChangeArrowheads="1"/>
        </xdr:cNvSpPr>
      </xdr:nvSpPr>
      <xdr:spPr>
        <a:xfrm>
          <a:off x="1022985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23</xdr:row>
      <xdr:rowOff>0</xdr:rowOff>
    </xdr:from>
    <xdr:ext cx="76200" cy="219075"/>
    <xdr:sp fLocksText="0">
      <xdr:nvSpPr>
        <xdr:cNvPr id="504" name="Text Box 679"/>
        <xdr:cNvSpPr txBox="1">
          <a:spLocks noChangeArrowheads="1"/>
        </xdr:cNvSpPr>
      </xdr:nvSpPr>
      <xdr:spPr>
        <a:xfrm>
          <a:off x="1022985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24</xdr:row>
      <xdr:rowOff>0</xdr:rowOff>
    </xdr:from>
    <xdr:ext cx="76200" cy="219075"/>
    <xdr:sp fLocksText="0">
      <xdr:nvSpPr>
        <xdr:cNvPr id="505" name="Text Box 680"/>
        <xdr:cNvSpPr txBox="1">
          <a:spLocks noChangeArrowheads="1"/>
        </xdr:cNvSpPr>
      </xdr:nvSpPr>
      <xdr:spPr>
        <a:xfrm>
          <a:off x="10229850" y="528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24</xdr:row>
      <xdr:rowOff>0</xdr:rowOff>
    </xdr:from>
    <xdr:ext cx="76200" cy="219075"/>
    <xdr:sp fLocksText="0">
      <xdr:nvSpPr>
        <xdr:cNvPr id="506" name="Text Box 681"/>
        <xdr:cNvSpPr txBox="1">
          <a:spLocks noChangeArrowheads="1"/>
        </xdr:cNvSpPr>
      </xdr:nvSpPr>
      <xdr:spPr>
        <a:xfrm>
          <a:off x="10229850" y="528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24</xdr:row>
      <xdr:rowOff>0</xdr:rowOff>
    </xdr:from>
    <xdr:ext cx="76200" cy="219075"/>
    <xdr:sp fLocksText="0">
      <xdr:nvSpPr>
        <xdr:cNvPr id="507" name="Text Box 682"/>
        <xdr:cNvSpPr txBox="1">
          <a:spLocks noChangeArrowheads="1"/>
        </xdr:cNvSpPr>
      </xdr:nvSpPr>
      <xdr:spPr>
        <a:xfrm>
          <a:off x="10229850" y="528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0</xdr:colOff>
      <xdr:row>24</xdr:row>
      <xdr:rowOff>0</xdr:rowOff>
    </xdr:from>
    <xdr:ext cx="76200" cy="219075"/>
    <xdr:sp fLocksText="0">
      <xdr:nvSpPr>
        <xdr:cNvPr id="508" name="Text Box 683"/>
        <xdr:cNvSpPr txBox="1">
          <a:spLocks noChangeArrowheads="1"/>
        </xdr:cNvSpPr>
      </xdr:nvSpPr>
      <xdr:spPr>
        <a:xfrm>
          <a:off x="10229850" y="528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">
    <pageSetUpPr fitToPage="1"/>
  </sheetPr>
  <dimension ref="A1:A69"/>
  <sheetViews>
    <sheetView showGridLines="0" showRowColHeaders="0" zoomScalePageLayoutView="0" workbookViewId="0" topLeftCell="A1">
      <selection activeCell="O8" sqref="O8"/>
    </sheetView>
  </sheetViews>
  <sheetFormatPr defaultColWidth="9.00390625" defaultRowHeight="13.5"/>
  <cols>
    <col min="1" max="16384" width="9.00390625" style="105" customWidth="1"/>
  </cols>
  <sheetData>
    <row r="1" s="103" customFormat="1" ht="36" customHeight="1">
      <c r="A1" s="102" t="s">
        <v>59</v>
      </c>
    </row>
    <row r="2" ht="36" customHeight="1">
      <c r="A2" s="104" t="s">
        <v>60</v>
      </c>
    </row>
    <row r="3" ht="36" customHeight="1">
      <c r="A3" s="104" t="s">
        <v>61</v>
      </c>
    </row>
    <row r="4" ht="36" customHeight="1">
      <c r="A4" s="104" t="s">
        <v>62</v>
      </c>
    </row>
    <row r="5" s="103" customFormat="1" ht="36" customHeight="1">
      <c r="A5" s="102" t="s">
        <v>63</v>
      </c>
    </row>
    <row r="6" s="103" customFormat="1" ht="24" customHeight="1">
      <c r="A6" s="106" t="s">
        <v>64</v>
      </c>
    </row>
    <row r="7" ht="24" customHeight="1">
      <c r="A7" s="105" t="s">
        <v>58</v>
      </c>
    </row>
    <row r="8" ht="24" customHeight="1">
      <c r="A8" s="105" t="s">
        <v>65</v>
      </c>
    </row>
    <row r="9" ht="24" customHeight="1">
      <c r="A9" s="105" t="s">
        <v>66</v>
      </c>
    </row>
    <row r="15" ht="31.5" customHeight="1"/>
    <row r="36" ht="24" customHeight="1">
      <c r="A36" s="105" t="s">
        <v>67</v>
      </c>
    </row>
    <row r="56" ht="24" customHeight="1">
      <c r="A56" s="104" t="s">
        <v>68</v>
      </c>
    </row>
    <row r="57" ht="24" customHeight="1">
      <c r="A57" s="105" t="s">
        <v>69</v>
      </c>
    </row>
    <row r="69" ht="14.25">
      <c r="A69" s="104" t="s">
        <v>70</v>
      </c>
    </row>
  </sheetData>
  <sheetProtection/>
  <printOptions/>
  <pageMargins left="0.787" right="0.787" top="0.984" bottom="0.984" header="0.512" footer="0.512"/>
  <pageSetup fitToHeight="1" fitToWidth="1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7" max="7" width="17.25390625" style="0" customWidth="1"/>
    <col min="8" max="8" width="18.375" style="0" bestFit="1" customWidth="1"/>
    <col min="9" max="9" width="3.00390625" style="0" bestFit="1" customWidth="1"/>
    <col min="10" max="10" width="3.50390625" style="0" bestFit="1" customWidth="1"/>
    <col min="12" max="13" width="3.50390625" style="0" bestFit="1" customWidth="1"/>
  </cols>
  <sheetData>
    <row r="1" spans="1:13" ht="14.25">
      <c r="A1" s="209" t="s">
        <v>255</v>
      </c>
      <c r="B1" s="131" t="s">
        <v>256</v>
      </c>
      <c r="C1" s="211" t="s">
        <v>257</v>
      </c>
      <c r="D1" s="213" t="s">
        <v>258</v>
      </c>
      <c r="E1" s="214"/>
      <c r="F1" s="215" t="s">
        <v>259</v>
      </c>
      <c r="G1" s="200" t="s">
        <v>260</v>
      </c>
      <c r="H1" s="200" t="s">
        <v>261</v>
      </c>
      <c r="I1" s="217" t="s">
        <v>262</v>
      </c>
      <c r="J1" s="217" t="s">
        <v>73</v>
      </c>
      <c r="K1" s="208" t="s">
        <v>263</v>
      </c>
      <c r="L1" s="208"/>
      <c r="M1" s="208"/>
    </row>
    <row r="2" spans="1:13" ht="31.5">
      <c r="A2" s="210"/>
      <c r="B2" s="132" t="s">
        <v>264</v>
      </c>
      <c r="C2" s="212"/>
      <c r="D2" s="201" t="s">
        <v>276</v>
      </c>
      <c r="E2" s="202" t="s">
        <v>265</v>
      </c>
      <c r="F2" s="216"/>
      <c r="G2" s="203" t="s">
        <v>266</v>
      </c>
      <c r="H2" s="204" t="s">
        <v>267</v>
      </c>
      <c r="I2" s="218"/>
      <c r="J2" s="218"/>
      <c r="K2" s="205" t="s">
        <v>268</v>
      </c>
      <c r="L2" s="206" t="s">
        <v>269</v>
      </c>
      <c r="M2" s="206" t="s">
        <v>270</v>
      </c>
    </row>
    <row r="3" spans="1:13" ht="14.25">
      <c r="A3" s="133">
        <v>1</v>
      </c>
      <c r="B3" s="134"/>
      <c r="C3" s="135"/>
      <c r="D3" s="136"/>
      <c r="E3" s="137"/>
      <c r="F3" s="138"/>
      <c r="G3" s="139"/>
      <c r="H3" s="140"/>
      <c r="I3" s="141"/>
      <c r="J3" s="142"/>
      <c r="K3" s="142"/>
      <c r="L3" s="142"/>
      <c r="M3" s="142"/>
    </row>
    <row r="4" spans="1:13" ht="14.25">
      <c r="A4" s="133">
        <v>2</v>
      </c>
      <c r="B4" s="134"/>
      <c r="C4" s="135"/>
      <c r="D4" s="136"/>
      <c r="E4" s="137"/>
      <c r="F4" s="138"/>
      <c r="G4" s="139"/>
      <c r="H4" s="140"/>
      <c r="I4" s="141"/>
      <c r="J4" s="142"/>
      <c r="K4" s="142"/>
      <c r="L4" s="142"/>
      <c r="M4" s="142"/>
    </row>
    <row r="5" spans="1:13" ht="14.25">
      <c r="A5" s="133">
        <v>3</v>
      </c>
      <c r="B5" s="134"/>
      <c r="C5" s="135"/>
      <c r="D5" s="136"/>
      <c r="E5" s="137"/>
      <c r="F5" s="138"/>
      <c r="G5" s="139"/>
      <c r="H5" s="140"/>
      <c r="I5" s="141"/>
      <c r="J5" s="142"/>
      <c r="K5" s="142"/>
      <c r="L5" s="142"/>
      <c r="M5" s="142"/>
    </row>
    <row r="6" spans="1:13" ht="14.25">
      <c r="A6" s="133">
        <v>4</v>
      </c>
      <c r="B6" s="134"/>
      <c r="C6" s="135"/>
      <c r="D6" s="136"/>
      <c r="E6" s="137"/>
      <c r="F6" s="138"/>
      <c r="G6" s="139"/>
      <c r="H6" s="140"/>
      <c r="I6" s="141"/>
      <c r="J6" s="142"/>
      <c r="K6" s="142"/>
      <c r="L6" s="142"/>
      <c r="M6" s="142"/>
    </row>
    <row r="7" spans="1:13" ht="14.25">
      <c r="A7" s="133">
        <v>5</v>
      </c>
      <c r="B7" s="134"/>
      <c r="C7" s="135"/>
      <c r="D7" s="136"/>
      <c r="E7" s="137"/>
      <c r="F7" s="138"/>
      <c r="G7" s="139"/>
      <c r="H7" s="140"/>
      <c r="I7" s="141"/>
      <c r="J7" s="142"/>
      <c r="K7" s="142"/>
      <c r="L7" s="142"/>
      <c r="M7" s="142"/>
    </row>
    <row r="8" spans="1:13" ht="14.25">
      <c r="A8" s="133">
        <v>6</v>
      </c>
      <c r="B8" s="134"/>
      <c r="C8" s="135"/>
      <c r="D8" s="136"/>
      <c r="E8" s="137"/>
      <c r="F8" s="138"/>
      <c r="G8" s="139"/>
      <c r="H8" s="140"/>
      <c r="I8" s="141"/>
      <c r="J8" s="142"/>
      <c r="K8" s="142"/>
      <c r="L8" s="142"/>
      <c r="M8" s="142"/>
    </row>
    <row r="9" spans="1:13" ht="14.25">
      <c r="A9" s="133">
        <v>7</v>
      </c>
      <c r="B9" s="134"/>
      <c r="C9" s="135"/>
      <c r="D9" s="136"/>
      <c r="E9" s="137"/>
      <c r="F9" s="138"/>
      <c r="G9" s="139"/>
      <c r="H9" s="140"/>
      <c r="I9" s="141"/>
      <c r="J9" s="142"/>
      <c r="K9" s="142"/>
      <c r="L9" s="142"/>
      <c r="M9" s="142"/>
    </row>
    <row r="10" spans="1:13" ht="14.25">
      <c r="A10" s="133">
        <v>8</v>
      </c>
      <c r="B10" s="134"/>
      <c r="C10" s="135"/>
      <c r="D10" s="136"/>
      <c r="E10" s="137"/>
      <c r="F10" s="138"/>
      <c r="G10" s="139"/>
      <c r="H10" s="140"/>
      <c r="I10" s="141"/>
      <c r="J10" s="142"/>
      <c r="K10" s="142"/>
      <c r="L10" s="142"/>
      <c r="M10" s="142"/>
    </row>
    <row r="11" spans="1:13" ht="14.25">
      <c r="A11" s="133">
        <v>9</v>
      </c>
      <c r="B11" s="134"/>
      <c r="C11" s="135"/>
      <c r="D11" s="136"/>
      <c r="E11" s="137"/>
      <c r="F11" s="138"/>
      <c r="G11" s="139"/>
      <c r="H11" s="140"/>
      <c r="I11" s="141"/>
      <c r="J11" s="142"/>
      <c r="K11" s="142"/>
      <c r="L11" s="142"/>
      <c r="M11" s="142"/>
    </row>
    <row r="12" spans="1:13" ht="14.25">
      <c r="A12" s="133">
        <v>10</v>
      </c>
      <c r="B12" s="134"/>
      <c r="C12" s="135"/>
      <c r="D12" s="136"/>
      <c r="E12" s="137"/>
      <c r="F12" s="138"/>
      <c r="G12" s="139"/>
      <c r="H12" s="140"/>
      <c r="I12" s="141"/>
      <c r="J12" s="142"/>
      <c r="K12" s="142"/>
      <c r="L12" s="142"/>
      <c r="M12" s="142"/>
    </row>
    <row r="13" spans="1:13" ht="14.25">
      <c r="A13" s="133">
        <v>11</v>
      </c>
      <c r="B13" s="134"/>
      <c r="C13" s="135"/>
      <c r="D13" s="136"/>
      <c r="E13" s="137"/>
      <c r="F13" s="138"/>
      <c r="G13" s="139"/>
      <c r="H13" s="140"/>
      <c r="I13" s="141"/>
      <c r="J13" s="142"/>
      <c r="K13" s="142"/>
      <c r="L13" s="142"/>
      <c r="M13" s="142"/>
    </row>
    <row r="14" spans="1:13" ht="14.25">
      <c r="A14" s="133">
        <v>12</v>
      </c>
      <c r="B14" s="134"/>
      <c r="C14" s="135"/>
      <c r="D14" s="136"/>
      <c r="E14" s="137"/>
      <c r="F14" s="138"/>
      <c r="G14" s="139"/>
      <c r="H14" s="140"/>
      <c r="I14" s="141"/>
      <c r="J14" s="142"/>
      <c r="K14" s="142"/>
      <c r="L14" s="142"/>
      <c r="M14" s="142"/>
    </row>
    <row r="15" spans="1:13" ht="14.25">
      <c r="A15" s="133">
        <v>13</v>
      </c>
      <c r="B15" s="134"/>
      <c r="C15" s="135"/>
      <c r="D15" s="136"/>
      <c r="E15" s="137"/>
      <c r="F15" s="138"/>
      <c r="G15" s="139"/>
      <c r="H15" s="140"/>
      <c r="I15" s="141"/>
      <c r="J15" s="142"/>
      <c r="K15" s="142"/>
      <c r="L15" s="142"/>
      <c r="M15" s="142"/>
    </row>
    <row r="16" spans="1:13" ht="14.25">
      <c r="A16" s="133">
        <v>14</v>
      </c>
      <c r="B16" s="134"/>
      <c r="C16" s="135"/>
      <c r="D16" s="136"/>
      <c r="E16" s="137"/>
      <c r="F16" s="138"/>
      <c r="G16" s="139"/>
      <c r="H16" s="140"/>
      <c r="I16" s="141"/>
      <c r="J16" s="142"/>
      <c r="K16" s="142"/>
      <c r="L16" s="142"/>
      <c r="M16" s="142"/>
    </row>
    <row r="17" spans="1:13" ht="14.25">
      <c r="A17" s="133">
        <v>15</v>
      </c>
      <c r="B17" s="134"/>
      <c r="C17" s="135"/>
      <c r="D17" s="136"/>
      <c r="E17" s="137"/>
      <c r="F17" s="138"/>
      <c r="G17" s="139"/>
      <c r="H17" s="140"/>
      <c r="I17" s="141"/>
      <c r="J17" s="142"/>
      <c r="K17" s="142"/>
      <c r="L17" s="142"/>
      <c r="M17" s="142"/>
    </row>
    <row r="18" spans="1:13" ht="14.25">
      <c r="A18" s="133">
        <v>16</v>
      </c>
      <c r="B18" s="134"/>
      <c r="C18" s="135"/>
      <c r="D18" s="136"/>
      <c r="E18" s="137"/>
      <c r="F18" s="138"/>
      <c r="G18" s="139"/>
      <c r="H18" s="140"/>
      <c r="I18" s="141"/>
      <c r="J18" s="142"/>
      <c r="K18" s="142"/>
      <c r="L18" s="142"/>
      <c r="M18" s="142"/>
    </row>
    <row r="19" spans="1:13" ht="14.25">
      <c r="A19" s="133">
        <v>17</v>
      </c>
      <c r="B19" s="134"/>
      <c r="C19" s="135"/>
      <c r="D19" s="136"/>
      <c r="E19" s="137"/>
      <c r="F19" s="138"/>
      <c r="G19" s="139"/>
      <c r="H19" s="143"/>
      <c r="I19" s="141"/>
      <c r="J19" s="142"/>
      <c r="K19" s="142"/>
      <c r="L19" s="142"/>
      <c r="M19" s="142"/>
    </row>
    <row r="20" spans="1:13" ht="14.25">
      <c r="A20" s="133">
        <v>18</v>
      </c>
      <c r="B20" s="134"/>
      <c r="C20" s="135"/>
      <c r="D20" s="136"/>
      <c r="E20" s="137"/>
      <c r="F20" s="138"/>
      <c r="G20" s="139"/>
      <c r="H20" s="143"/>
      <c r="I20" s="141"/>
      <c r="J20" s="142"/>
      <c r="K20" s="142"/>
      <c r="L20" s="142"/>
      <c r="M20" s="142"/>
    </row>
    <row r="21" spans="1:13" ht="14.25">
      <c r="A21" s="133">
        <v>19</v>
      </c>
      <c r="B21" s="134"/>
      <c r="C21" s="135"/>
      <c r="D21" s="136"/>
      <c r="E21" s="137"/>
      <c r="F21" s="138"/>
      <c r="G21" s="139"/>
      <c r="H21" s="140"/>
      <c r="I21" s="141"/>
      <c r="J21" s="142"/>
      <c r="K21" s="142"/>
      <c r="L21" s="142"/>
      <c r="M21" s="142"/>
    </row>
    <row r="22" spans="1:13" ht="14.25">
      <c r="A22" s="133">
        <v>20</v>
      </c>
      <c r="B22" s="134"/>
      <c r="C22" s="135"/>
      <c r="D22" s="136"/>
      <c r="E22" s="137"/>
      <c r="F22" s="138"/>
      <c r="G22" s="139"/>
      <c r="H22" s="140"/>
      <c r="I22" s="141"/>
      <c r="J22" s="142"/>
      <c r="K22" s="142"/>
      <c r="L22" s="142"/>
      <c r="M22" s="142"/>
    </row>
    <row r="23" spans="1:13" ht="14.25">
      <c r="A23" s="133">
        <v>21</v>
      </c>
      <c r="B23" s="134"/>
      <c r="C23" s="135"/>
      <c r="D23" s="136"/>
      <c r="E23" s="137"/>
      <c r="F23" s="138"/>
      <c r="G23" s="139"/>
      <c r="H23" s="140"/>
      <c r="I23" s="141"/>
      <c r="J23" s="142"/>
      <c r="K23" s="142"/>
      <c r="L23" s="142"/>
      <c r="M23" s="142"/>
    </row>
    <row r="24" spans="1:13" ht="14.25">
      <c r="A24" s="133">
        <v>22</v>
      </c>
      <c r="B24" s="134"/>
      <c r="C24" s="135"/>
      <c r="D24" s="136"/>
      <c r="E24" s="137"/>
      <c r="F24" s="138"/>
      <c r="G24" s="139"/>
      <c r="H24" s="143"/>
      <c r="I24" s="141"/>
      <c r="J24" s="142"/>
      <c r="K24" s="142"/>
      <c r="L24" s="142"/>
      <c r="M24" s="142"/>
    </row>
    <row r="25" spans="1:13" ht="14.25">
      <c r="A25" s="133">
        <v>23</v>
      </c>
      <c r="B25" s="134"/>
      <c r="C25" s="135"/>
      <c r="D25" s="136"/>
      <c r="E25" s="137"/>
      <c r="F25" s="138"/>
      <c r="G25" s="139"/>
      <c r="H25" s="140"/>
      <c r="I25" s="141"/>
      <c r="J25" s="142"/>
      <c r="K25" s="142"/>
      <c r="L25" s="142"/>
      <c r="M25" s="142"/>
    </row>
    <row r="26" spans="1:13" ht="14.25">
      <c r="A26" s="133">
        <v>24</v>
      </c>
      <c r="B26" s="134"/>
      <c r="C26" s="135"/>
      <c r="D26" s="136"/>
      <c r="E26" s="137"/>
      <c r="F26" s="138"/>
      <c r="G26" s="139"/>
      <c r="H26" s="140"/>
      <c r="I26" s="141"/>
      <c r="J26" s="142"/>
      <c r="K26" s="142"/>
      <c r="L26" s="142"/>
      <c r="M26" s="142"/>
    </row>
    <row r="27" spans="1:13" ht="14.25">
      <c r="A27" s="133">
        <v>25</v>
      </c>
      <c r="B27" s="134"/>
      <c r="C27" s="135"/>
      <c r="D27" s="136"/>
      <c r="E27" s="137"/>
      <c r="F27" s="138"/>
      <c r="G27" s="139"/>
      <c r="H27" s="140"/>
      <c r="I27" s="141"/>
      <c r="J27" s="142"/>
      <c r="K27" s="142"/>
      <c r="L27" s="142"/>
      <c r="M27" s="142"/>
    </row>
    <row r="28" spans="1:13" ht="14.25">
      <c r="A28" s="133">
        <v>26</v>
      </c>
      <c r="B28" s="134"/>
      <c r="C28" s="135"/>
      <c r="D28" s="136"/>
      <c r="E28" s="137"/>
      <c r="F28" s="138"/>
      <c r="G28" s="139"/>
      <c r="H28" s="140"/>
      <c r="I28" s="141"/>
      <c r="J28" s="142"/>
      <c r="K28" s="142"/>
      <c r="L28" s="142"/>
      <c r="M28" s="142"/>
    </row>
    <row r="29" spans="1:13" ht="14.25">
      <c r="A29" s="133">
        <v>27</v>
      </c>
      <c r="B29" s="134"/>
      <c r="C29" s="135"/>
      <c r="D29" s="136"/>
      <c r="E29" s="137"/>
      <c r="F29" s="138"/>
      <c r="G29" s="139"/>
      <c r="H29" s="143"/>
      <c r="I29" s="141"/>
      <c r="J29" s="142"/>
      <c r="K29" s="142"/>
      <c r="L29" s="142"/>
      <c r="M29" s="142"/>
    </row>
    <row r="30" spans="1:13" ht="14.25">
      <c r="A30" s="133">
        <v>28</v>
      </c>
      <c r="B30" s="134"/>
      <c r="C30" s="135"/>
      <c r="D30" s="136"/>
      <c r="E30" s="137"/>
      <c r="F30" s="138"/>
      <c r="G30" s="139"/>
      <c r="H30" s="140"/>
      <c r="I30" s="141"/>
      <c r="J30" s="142"/>
      <c r="K30" s="142"/>
      <c r="L30" s="142"/>
      <c r="M30" s="142"/>
    </row>
    <row r="31" spans="1:13" ht="14.25">
      <c r="A31" s="133">
        <v>29</v>
      </c>
      <c r="B31" s="134"/>
      <c r="C31" s="135"/>
      <c r="D31" s="136"/>
      <c r="E31" s="137"/>
      <c r="F31" s="138"/>
      <c r="G31" s="139"/>
      <c r="H31" s="140"/>
      <c r="I31" s="141"/>
      <c r="J31" s="142"/>
      <c r="K31" s="142"/>
      <c r="L31" s="142"/>
      <c r="M31" s="142"/>
    </row>
    <row r="32" spans="1:13" ht="14.25">
      <c r="A32" s="133">
        <v>30</v>
      </c>
      <c r="B32" s="134"/>
      <c r="C32" s="135"/>
      <c r="D32" s="136"/>
      <c r="E32" s="137"/>
      <c r="F32" s="138"/>
      <c r="G32" s="139"/>
      <c r="H32" s="140"/>
      <c r="I32" s="141"/>
      <c r="J32" s="142"/>
      <c r="K32" s="142"/>
      <c r="L32" s="142"/>
      <c r="M32" s="142"/>
    </row>
    <row r="33" spans="1:13" ht="14.25">
      <c r="A33" s="133">
        <v>31</v>
      </c>
      <c r="B33" s="134"/>
      <c r="C33" s="135"/>
      <c r="D33" s="136"/>
      <c r="E33" s="137"/>
      <c r="F33" s="138"/>
      <c r="G33" s="139"/>
      <c r="H33" s="140"/>
      <c r="I33" s="141"/>
      <c r="J33" s="142"/>
      <c r="K33" s="142"/>
      <c r="L33" s="142"/>
      <c r="M33" s="142"/>
    </row>
    <row r="34" spans="1:13" ht="14.25">
      <c r="A34" s="133">
        <v>32</v>
      </c>
      <c r="B34" s="134"/>
      <c r="C34" s="135"/>
      <c r="D34" s="136"/>
      <c r="E34" s="137"/>
      <c r="F34" s="138"/>
      <c r="G34" s="139"/>
      <c r="H34" s="143"/>
      <c r="I34" s="141"/>
      <c r="J34" s="142"/>
      <c r="K34" s="142"/>
      <c r="L34" s="142"/>
      <c r="M34" s="142"/>
    </row>
    <row r="35" spans="1:13" ht="14.25">
      <c r="A35" s="133">
        <v>33</v>
      </c>
      <c r="B35" s="134"/>
      <c r="C35" s="135"/>
      <c r="D35" s="136"/>
      <c r="E35" s="137"/>
      <c r="F35" s="138"/>
      <c r="G35" s="139"/>
      <c r="H35" s="140"/>
      <c r="I35" s="141"/>
      <c r="J35" s="142"/>
      <c r="K35" s="142"/>
      <c r="L35" s="142"/>
      <c r="M35" s="142"/>
    </row>
    <row r="36" spans="1:13" ht="14.25">
      <c r="A36" s="133">
        <v>34</v>
      </c>
      <c r="B36" s="134"/>
      <c r="C36" s="135"/>
      <c r="D36" s="136"/>
      <c r="E36" s="137"/>
      <c r="F36" s="138"/>
      <c r="G36" s="139"/>
      <c r="H36" s="140"/>
      <c r="I36" s="141"/>
      <c r="J36" s="142"/>
      <c r="K36" s="142"/>
      <c r="L36" s="142"/>
      <c r="M36" s="142"/>
    </row>
    <row r="37" spans="1:13" ht="14.25">
      <c r="A37" s="133">
        <v>35</v>
      </c>
      <c r="B37" s="134"/>
      <c r="C37" s="135"/>
      <c r="D37" s="136"/>
      <c r="E37" s="137"/>
      <c r="F37" s="138"/>
      <c r="G37" s="139"/>
      <c r="H37" s="140"/>
      <c r="I37" s="141"/>
      <c r="J37" s="142"/>
      <c r="K37" s="142"/>
      <c r="L37" s="142"/>
      <c r="M37" s="142"/>
    </row>
    <row r="38" spans="1:13" ht="14.25">
      <c r="A38" s="133">
        <v>36</v>
      </c>
      <c r="B38" s="134"/>
      <c r="C38" s="135"/>
      <c r="D38" s="136"/>
      <c r="E38" s="137"/>
      <c r="F38" s="138"/>
      <c r="G38" s="139"/>
      <c r="H38" s="143"/>
      <c r="I38" s="141"/>
      <c r="J38" s="142"/>
      <c r="K38" s="142"/>
      <c r="L38" s="142"/>
      <c r="M38" s="142"/>
    </row>
    <row r="39" spans="1:13" ht="14.25">
      <c r="A39" s="133">
        <v>37</v>
      </c>
      <c r="B39" s="134"/>
      <c r="C39" s="135"/>
      <c r="D39" s="136"/>
      <c r="E39" s="137"/>
      <c r="F39" s="138"/>
      <c r="G39" s="139"/>
      <c r="H39" s="140"/>
      <c r="I39" s="141"/>
      <c r="J39" s="142"/>
      <c r="K39" s="142"/>
      <c r="L39" s="142"/>
      <c r="M39" s="142"/>
    </row>
    <row r="40" spans="1:13" ht="14.25">
      <c r="A40" s="133">
        <v>38</v>
      </c>
      <c r="B40" s="134"/>
      <c r="C40" s="135"/>
      <c r="D40" s="136"/>
      <c r="E40" s="137"/>
      <c r="F40" s="138"/>
      <c r="G40" s="139"/>
      <c r="H40" s="140"/>
      <c r="I40" s="141"/>
      <c r="J40" s="142"/>
      <c r="K40" s="142"/>
      <c r="L40" s="142"/>
      <c r="M40" s="142"/>
    </row>
    <row r="41" spans="1:13" ht="14.25">
      <c r="A41" s="133">
        <v>39</v>
      </c>
      <c r="B41" s="134"/>
      <c r="C41" s="135"/>
      <c r="D41" s="136"/>
      <c r="E41" s="137"/>
      <c r="F41" s="138"/>
      <c r="G41" s="139"/>
      <c r="H41" s="140"/>
      <c r="I41" s="141"/>
      <c r="J41" s="142"/>
      <c r="K41" s="142"/>
      <c r="L41" s="142"/>
      <c r="M41" s="142"/>
    </row>
    <row r="42" spans="1:13" ht="14.25">
      <c r="A42" s="133">
        <v>40</v>
      </c>
      <c r="B42" s="134"/>
      <c r="C42" s="135"/>
      <c r="D42" s="136"/>
      <c r="E42" s="137"/>
      <c r="F42" s="138"/>
      <c r="G42" s="139"/>
      <c r="H42" s="140"/>
      <c r="I42" s="141"/>
      <c r="J42" s="142"/>
      <c r="K42" s="142"/>
      <c r="L42" s="142"/>
      <c r="M42" s="142"/>
    </row>
    <row r="43" spans="1:13" ht="14.25">
      <c r="A43" s="133">
        <v>41</v>
      </c>
      <c r="B43" s="134"/>
      <c r="C43" s="135"/>
      <c r="D43" s="136"/>
      <c r="E43" s="137"/>
      <c r="F43" s="138"/>
      <c r="G43" s="139"/>
      <c r="H43" s="140"/>
      <c r="I43" s="141"/>
      <c r="J43" s="142"/>
      <c r="K43" s="142"/>
      <c r="L43" s="142"/>
      <c r="M43" s="142"/>
    </row>
    <row r="44" spans="1:13" ht="14.25">
      <c r="A44" s="133">
        <v>42</v>
      </c>
      <c r="B44" s="134"/>
      <c r="C44" s="135"/>
      <c r="D44" s="136"/>
      <c r="E44" s="137"/>
      <c r="F44" s="138"/>
      <c r="G44" s="139"/>
      <c r="H44" s="143"/>
      <c r="I44" s="141"/>
      <c r="J44" s="142"/>
      <c r="K44" s="142"/>
      <c r="L44" s="142"/>
      <c r="M44" s="142"/>
    </row>
    <row r="45" spans="1:13" ht="14.25">
      <c r="A45" s="133">
        <v>43</v>
      </c>
      <c r="B45" s="134"/>
      <c r="C45" s="135"/>
      <c r="D45" s="136"/>
      <c r="E45" s="137"/>
      <c r="F45" s="138"/>
      <c r="G45" s="139"/>
      <c r="H45" s="140"/>
      <c r="I45" s="141"/>
      <c r="J45" s="142"/>
      <c r="K45" s="142"/>
      <c r="L45" s="142"/>
      <c r="M45" s="142"/>
    </row>
    <row r="46" spans="1:13" ht="14.25">
      <c r="A46" s="133">
        <v>44</v>
      </c>
      <c r="B46" s="134"/>
      <c r="C46" s="135"/>
      <c r="D46" s="136"/>
      <c r="E46" s="137"/>
      <c r="F46" s="138"/>
      <c r="G46" s="139"/>
      <c r="H46" s="140"/>
      <c r="I46" s="141"/>
      <c r="J46" s="142"/>
      <c r="K46" s="142"/>
      <c r="L46" s="142"/>
      <c r="M46" s="142"/>
    </row>
    <row r="47" spans="1:13" ht="14.25">
      <c r="A47" s="133">
        <v>45</v>
      </c>
      <c r="B47" s="134"/>
      <c r="C47" s="135"/>
      <c r="D47" s="136"/>
      <c r="E47" s="137"/>
      <c r="F47" s="138"/>
      <c r="G47" s="139"/>
      <c r="H47" s="140"/>
      <c r="I47" s="141"/>
      <c r="J47" s="142"/>
      <c r="K47" s="142"/>
      <c r="L47" s="142"/>
      <c r="M47" s="142"/>
    </row>
    <row r="48" spans="1:13" ht="14.25">
      <c r="A48" s="133">
        <v>46</v>
      </c>
      <c r="B48" s="134"/>
      <c r="C48" s="135"/>
      <c r="D48" s="136"/>
      <c r="E48" s="137"/>
      <c r="F48" s="138"/>
      <c r="G48" s="139"/>
      <c r="H48" s="140"/>
      <c r="I48" s="141"/>
      <c r="J48" s="142"/>
      <c r="K48" s="142"/>
      <c r="L48" s="142"/>
      <c r="M48" s="142"/>
    </row>
    <row r="49" spans="1:13" ht="14.25">
      <c r="A49" s="133">
        <v>47</v>
      </c>
      <c r="B49" s="134"/>
      <c r="C49" s="135"/>
      <c r="D49" s="136"/>
      <c r="E49" s="137"/>
      <c r="F49" s="138"/>
      <c r="G49" s="139"/>
      <c r="H49" s="143"/>
      <c r="I49" s="141"/>
      <c r="J49" s="142"/>
      <c r="K49" s="142"/>
      <c r="L49" s="142"/>
      <c r="M49" s="142"/>
    </row>
    <row r="50" spans="1:13" ht="14.25">
      <c r="A50" s="133">
        <v>48</v>
      </c>
      <c r="B50" s="134"/>
      <c r="C50" s="135"/>
      <c r="D50" s="136"/>
      <c r="E50" s="137"/>
      <c r="F50" s="138"/>
      <c r="G50" s="139"/>
      <c r="H50" s="140"/>
      <c r="I50" s="141"/>
      <c r="J50" s="142"/>
      <c r="K50" s="142"/>
      <c r="L50" s="142"/>
      <c r="M50" s="142"/>
    </row>
    <row r="51" spans="1:13" ht="14.25">
      <c r="A51" s="133">
        <v>49</v>
      </c>
      <c r="B51" s="134"/>
      <c r="C51" s="135"/>
      <c r="D51" s="136"/>
      <c r="E51" s="137"/>
      <c r="F51" s="138"/>
      <c r="G51" s="139"/>
      <c r="H51" s="140"/>
      <c r="I51" s="141"/>
      <c r="J51" s="142"/>
      <c r="K51" s="142"/>
      <c r="L51" s="142"/>
      <c r="M51" s="142"/>
    </row>
    <row r="52" spans="1:13" ht="14.25">
      <c r="A52" s="133">
        <v>50</v>
      </c>
      <c r="B52" s="134"/>
      <c r="C52" s="135"/>
      <c r="D52" s="136"/>
      <c r="E52" s="137"/>
      <c r="F52" s="138"/>
      <c r="G52" s="139"/>
      <c r="H52" s="144"/>
      <c r="I52" s="141"/>
      <c r="J52" s="142"/>
      <c r="K52" s="142"/>
      <c r="L52" s="142"/>
      <c r="M52" s="142"/>
    </row>
    <row r="53" spans="1:13" ht="14.25">
      <c r="A53" s="133">
        <v>51</v>
      </c>
      <c r="B53" s="134"/>
      <c r="C53" s="135"/>
      <c r="D53" s="136"/>
      <c r="E53" s="137"/>
      <c r="F53" s="138"/>
      <c r="G53" s="139"/>
      <c r="H53" s="144"/>
      <c r="I53" s="141"/>
      <c r="J53" s="142"/>
      <c r="K53" s="142"/>
      <c r="L53" s="142"/>
      <c r="M53" s="142"/>
    </row>
    <row r="54" spans="1:13" ht="14.25">
      <c r="A54" s="133">
        <v>52</v>
      </c>
      <c r="B54" s="134"/>
      <c r="C54" s="135"/>
      <c r="D54" s="136"/>
      <c r="E54" s="137"/>
      <c r="F54" s="138"/>
      <c r="G54" s="139"/>
      <c r="H54" s="144"/>
      <c r="I54" s="141"/>
      <c r="J54" s="142"/>
      <c r="K54" s="142"/>
      <c r="L54" s="142"/>
      <c r="M54" s="142"/>
    </row>
    <row r="55" spans="1:13" ht="14.25">
      <c r="A55" s="133">
        <v>53</v>
      </c>
      <c r="B55" s="134"/>
      <c r="C55" s="135"/>
      <c r="D55" s="136"/>
      <c r="E55" s="137"/>
      <c r="F55" s="138"/>
      <c r="G55" s="139"/>
      <c r="H55" s="144"/>
      <c r="I55" s="141"/>
      <c r="J55" s="142"/>
      <c r="K55" s="142"/>
      <c r="L55" s="142"/>
      <c r="M55" s="142"/>
    </row>
    <row r="56" spans="1:13" ht="14.25">
      <c r="A56" s="133">
        <v>54</v>
      </c>
      <c r="B56" s="134"/>
      <c r="C56" s="135"/>
      <c r="D56" s="136"/>
      <c r="E56" s="137"/>
      <c r="F56" s="138"/>
      <c r="G56" s="139"/>
      <c r="H56" s="144"/>
      <c r="I56" s="141"/>
      <c r="J56" s="142"/>
      <c r="K56" s="142"/>
      <c r="L56" s="142"/>
      <c r="M56" s="142"/>
    </row>
    <row r="57" spans="1:13" ht="14.25">
      <c r="A57" s="133">
        <v>55</v>
      </c>
      <c r="B57" s="134"/>
      <c r="C57" s="135"/>
      <c r="D57" s="136"/>
      <c r="E57" s="137"/>
      <c r="F57" s="138"/>
      <c r="G57" s="139"/>
      <c r="H57" s="144"/>
      <c r="I57" s="141"/>
      <c r="J57" s="142"/>
      <c r="K57" s="142"/>
      <c r="L57" s="142"/>
      <c r="M57" s="142"/>
    </row>
    <row r="58" spans="1:13" ht="14.25">
      <c r="A58" s="133">
        <v>56</v>
      </c>
      <c r="B58" s="134"/>
      <c r="C58" s="135"/>
      <c r="D58" s="136"/>
      <c r="E58" s="137"/>
      <c r="F58" s="138"/>
      <c r="G58" s="139"/>
      <c r="H58" s="144"/>
      <c r="I58" s="141"/>
      <c r="J58" s="142"/>
      <c r="K58" s="142"/>
      <c r="L58" s="142"/>
      <c r="M58" s="142"/>
    </row>
    <row r="59" spans="1:13" ht="14.25">
      <c r="A59" s="133">
        <v>57</v>
      </c>
      <c r="B59" s="134"/>
      <c r="C59" s="135"/>
      <c r="D59" s="136"/>
      <c r="E59" s="137"/>
      <c r="F59" s="138"/>
      <c r="G59" s="139"/>
      <c r="H59" s="144"/>
      <c r="I59" s="141"/>
      <c r="J59" s="142"/>
      <c r="K59" s="142"/>
      <c r="L59" s="142"/>
      <c r="M59" s="142"/>
    </row>
    <row r="60" spans="1:13" ht="14.25">
      <c r="A60" s="133">
        <v>58</v>
      </c>
      <c r="B60" s="134"/>
      <c r="C60" s="135"/>
      <c r="D60" s="136"/>
      <c r="E60" s="137"/>
      <c r="F60" s="138"/>
      <c r="G60" s="139"/>
      <c r="H60" s="144"/>
      <c r="I60" s="141"/>
      <c r="J60" s="142"/>
      <c r="K60" s="142"/>
      <c r="L60" s="142"/>
      <c r="M60" s="142"/>
    </row>
    <row r="61" spans="1:13" ht="14.25">
      <c r="A61" s="133">
        <v>59</v>
      </c>
      <c r="B61" s="134"/>
      <c r="C61" s="135"/>
      <c r="D61" s="136"/>
      <c r="E61" s="137"/>
      <c r="F61" s="138"/>
      <c r="G61" s="139"/>
      <c r="H61" s="144"/>
      <c r="I61" s="141"/>
      <c r="J61" s="142"/>
      <c r="K61" s="142"/>
      <c r="L61" s="142"/>
      <c r="M61" s="142"/>
    </row>
    <row r="62" spans="1:13" ht="14.25">
      <c r="A62" s="133">
        <v>60</v>
      </c>
      <c r="B62" s="134"/>
      <c r="C62" s="135"/>
      <c r="D62" s="136"/>
      <c r="E62" s="137"/>
      <c r="F62" s="138"/>
      <c r="G62" s="139"/>
      <c r="H62" s="144"/>
      <c r="I62" s="141"/>
      <c r="J62" s="142"/>
      <c r="K62" s="142"/>
      <c r="L62" s="142"/>
      <c r="M62" s="142"/>
    </row>
    <row r="63" spans="1:13" ht="14.25">
      <c r="A63" s="133">
        <v>61</v>
      </c>
      <c r="B63" s="134"/>
      <c r="C63" s="135"/>
      <c r="D63" s="136"/>
      <c r="E63" s="137"/>
      <c r="F63" s="138"/>
      <c r="G63" s="139"/>
      <c r="H63" s="144"/>
      <c r="I63" s="141"/>
      <c r="J63" s="142"/>
      <c r="K63" s="142"/>
      <c r="L63" s="142"/>
      <c r="M63" s="142"/>
    </row>
    <row r="64" spans="1:13" ht="14.25">
      <c r="A64" s="133">
        <v>62</v>
      </c>
      <c r="B64" s="134"/>
      <c r="C64" s="135"/>
      <c r="D64" s="136"/>
      <c r="E64" s="137"/>
      <c r="F64" s="138"/>
      <c r="G64" s="139"/>
      <c r="H64" s="144"/>
      <c r="I64" s="141"/>
      <c r="J64" s="142"/>
      <c r="K64" s="142"/>
      <c r="L64" s="142"/>
      <c r="M64" s="142"/>
    </row>
    <row r="65" spans="1:13" ht="14.25">
      <c r="A65" s="133">
        <v>63</v>
      </c>
      <c r="B65" s="134"/>
      <c r="C65" s="135"/>
      <c r="D65" s="136"/>
      <c r="E65" s="137"/>
      <c r="F65" s="138"/>
      <c r="G65" s="139"/>
      <c r="H65" s="144"/>
      <c r="I65" s="141"/>
      <c r="J65" s="142"/>
      <c r="K65" s="142"/>
      <c r="L65" s="142"/>
      <c r="M65" s="142"/>
    </row>
    <row r="66" spans="1:13" ht="14.25">
      <c r="A66" s="133">
        <v>64</v>
      </c>
      <c r="B66" s="134"/>
      <c r="C66" s="135"/>
      <c r="D66" s="136"/>
      <c r="E66" s="137"/>
      <c r="F66" s="138"/>
      <c r="G66" s="139"/>
      <c r="H66" s="144"/>
      <c r="I66" s="141"/>
      <c r="J66" s="142"/>
      <c r="K66" s="142"/>
      <c r="L66" s="142"/>
      <c r="M66" s="142"/>
    </row>
    <row r="67" spans="1:13" ht="14.25">
      <c r="A67" s="133">
        <v>65</v>
      </c>
      <c r="B67" s="134"/>
      <c r="C67" s="135"/>
      <c r="D67" s="136"/>
      <c r="E67" s="137"/>
      <c r="F67" s="138"/>
      <c r="G67" s="139"/>
      <c r="H67" s="144"/>
      <c r="I67" s="141"/>
      <c r="J67" s="142"/>
      <c r="K67" s="142"/>
      <c r="L67" s="142"/>
      <c r="M67" s="142"/>
    </row>
    <row r="68" spans="1:13" ht="14.25">
      <c r="A68" s="133">
        <v>66</v>
      </c>
      <c r="B68" s="134"/>
      <c r="C68" s="135"/>
      <c r="D68" s="136"/>
      <c r="E68" s="137"/>
      <c r="F68" s="138"/>
      <c r="G68" s="139"/>
      <c r="H68" s="144"/>
      <c r="I68" s="141"/>
      <c r="J68" s="142"/>
      <c r="K68" s="142"/>
      <c r="L68" s="142"/>
      <c r="M68" s="142"/>
    </row>
    <row r="69" spans="1:13" ht="14.25">
      <c r="A69" s="133">
        <v>67</v>
      </c>
      <c r="B69" s="134"/>
      <c r="C69" s="135"/>
      <c r="D69" s="136"/>
      <c r="E69" s="137"/>
      <c r="F69" s="138"/>
      <c r="G69" s="139"/>
      <c r="H69" s="144"/>
      <c r="I69" s="141"/>
      <c r="J69" s="142"/>
      <c r="K69" s="142"/>
      <c r="L69" s="142"/>
      <c r="M69" s="142"/>
    </row>
    <row r="70" spans="1:13" ht="14.25">
      <c r="A70" s="133">
        <v>68</v>
      </c>
      <c r="B70" s="134"/>
      <c r="C70" s="135"/>
      <c r="D70" s="136"/>
      <c r="E70" s="137"/>
      <c r="F70" s="138"/>
      <c r="G70" s="139"/>
      <c r="H70" s="144"/>
      <c r="I70" s="141"/>
      <c r="J70" s="142"/>
      <c r="K70" s="142"/>
      <c r="L70" s="142"/>
      <c r="M70" s="142"/>
    </row>
    <row r="71" spans="1:13" ht="14.25">
      <c r="A71" s="133">
        <v>69</v>
      </c>
      <c r="B71" s="134"/>
      <c r="C71" s="135"/>
      <c r="D71" s="136"/>
      <c r="E71" s="137"/>
      <c r="F71" s="138"/>
      <c r="G71" s="139"/>
      <c r="H71" s="144"/>
      <c r="I71" s="141"/>
      <c r="J71" s="142"/>
      <c r="K71" s="142"/>
      <c r="L71" s="142"/>
      <c r="M71" s="142"/>
    </row>
    <row r="72" spans="1:13" ht="14.25">
      <c r="A72" s="133">
        <v>70</v>
      </c>
      <c r="B72" s="134"/>
      <c r="C72" s="135"/>
      <c r="D72" s="136"/>
      <c r="E72" s="137"/>
      <c r="F72" s="138"/>
      <c r="G72" s="139"/>
      <c r="H72" s="144"/>
      <c r="I72" s="141"/>
      <c r="J72" s="142"/>
      <c r="K72" s="142"/>
      <c r="L72" s="142"/>
      <c r="M72" s="142"/>
    </row>
    <row r="73" spans="1:13" ht="14.25">
      <c r="A73" s="133">
        <v>71</v>
      </c>
      <c r="B73" s="134"/>
      <c r="C73" s="135"/>
      <c r="D73" s="136"/>
      <c r="E73" s="137"/>
      <c r="F73" s="138"/>
      <c r="G73" s="139"/>
      <c r="H73" s="144"/>
      <c r="I73" s="141"/>
      <c r="J73" s="142"/>
      <c r="K73" s="142"/>
      <c r="L73" s="142"/>
      <c r="M73" s="142"/>
    </row>
    <row r="74" spans="1:13" ht="14.25">
      <c r="A74" s="133">
        <v>72</v>
      </c>
      <c r="B74" s="134"/>
      <c r="C74" s="135"/>
      <c r="D74" s="136"/>
      <c r="E74" s="137"/>
      <c r="F74" s="138"/>
      <c r="G74" s="139"/>
      <c r="H74" s="144"/>
      <c r="I74" s="141"/>
      <c r="J74" s="142"/>
      <c r="K74" s="142"/>
      <c r="L74" s="142"/>
      <c r="M74" s="142"/>
    </row>
    <row r="75" spans="1:13" ht="14.25">
      <c r="A75" s="133">
        <v>73</v>
      </c>
      <c r="B75" s="134"/>
      <c r="C75" s="135"/>
      <c r="D75" s="136"/>
      <c r="E75" s="137"/>
      <c r="F75" s="138"/>
      <c r="G75" s="139"/>
      <c r="H75" s="144"/>
      <c r="I75" s="141"/>
      <c r="J75" s="142"/>
      <c r="K75" s="142"/>
      <c r="L75" s="142"/>
      <c r="M75" s="142"/>
    </row>
    <row r="76" spans="1:13" ht="14.25">
      <c r="A76" s="133">
        <v>74</v>
      </c>
      <c r="B76" s="134"/>
      <c r="C76" s="135"/>
      <c r="D76" s="136"/>
      <c r="E76" s="137"/>
      <c r="F76" s="138"/>
      <c r="G76" s="139"/>
      <c r="H76" s="144"/>
      <c r="I76" s="141"/>
      <c r="J76" s="142"/>
      <c r="K76" s="142"/>
      <c r="L76" s="142"/>
      <c r="M76" s="142"/>
    </row>
    <row r="77" spans="1:13" ht="14.25">
      <c r="A77" s="133">
        <v>75</v>
      </c>
      <c r="B77" s="134"/>
      <c r="C77" s="135"/>
      <c r="D77" s="136"/>
      <c r="E77" s="137"/>
      <c r="F77" s="138"/>
      <c r="G77" s="139"/>
      <c r="H77" s="144"/>
      <c r="I77" s="141"/>
      <c r="J77" s="142"/>
      <c r="K77" s="142"/>
      <c r="L77" s="142"/>
      <c r="M77" s="142"/>
    </row>
    <row r="78" spans="1:13" ht="14.25">
      <c r="A78" s="133">
        <v>76</v>
      </c>
      <c r="B78" s="134"/>
      <c r="C78" s="135"/>
      <c r="D78" s="136"/>
      <c r="E78" s="137"/>
      <c r="F78" s="138"/>
      <c r="G78" s="139"/>
      <c r="H78" s="144"/>
      <c r="I78" s="141"/>
      <c r="J78" s="142"/>
      <c r="K78" s="142"/>
      <c r="L78" s="142"/>
      <c r="M78" s="142"/>
    </row>
    <row r="79" spans="1:13" ht="14.25">
      <c r="A79" s="133">
        <v>77</v>
      </c>
      <c r="B79" s="134"/>
      <c r="C79" s="135"/>
      <c r="D79" s="136"/>
      <c r="E79" s="137"/>
      <c r="F79" s="138"/>
      <c r="G79" s="139"/>
      <c r="H79" s="144"/>
      <c r="I79" s="141"/>
      <c r="J79" s="142"/>
      <c r="K79" s="142"/>
      <c r="L79" s="142"/>
      <c r="M79" s="142"/>
    </row>
    <row r="80" spans="1:13" ht="14.25">
      <c r="A80" s="133">
        <v>78</v>
      </c>
      <c r="B80" s="134"/>
      <c r="C80" s="135"/>
      <c r="D80" s="136"/>
      <c r="E80" s="137"/>
      <c r="F80" s="138"/>
      <c r="G80" s="139"/>
      <c r="H80" s="144"/>
      <c r="I80" s="141"/>
      <c r="J80" s="142"/>
      <c r="K80" s="142"/>
      <c r="L80" s="142"/>
      <c r="M80" s="142"/>
    </row>
    <row r="81" spans="1:13" ht="14.25">
      <c r="A81" s="133">
        <v>79</v>
      </c>
      <c r="B81" s="134"/>
      <c r="C81" s="135"/>
      <c r="D81" s="136"/>
      <c r="E81" s="137"/>
      <c r="F81" s="138"/>
      <c r="G81" s="139"/>
      <c r="H81" s="144"/>
      <c r="I81" s="141"/>
      <c r="J81" s="142"/>
      <c r="K81" s="142"/>
      <c r="L81" s="142"/>
      <c r="M81" s="142"/>
    </row>
    <row r="82" spans="1:13" ht="14.25">
      <c r="A82" s="133">
        <v>80</v>
      </c>
      <c r="B82" s="134"/>
      <c r="C82" s="135"/>
      <c r="D82" s="136"/>
      <c r="E82" s="137"/>
      <c r="F82" s="138"/>
      <c r="G82" s="139"/>
      <c r="H82" s="144"/>
      <c r="I82" s="141"/>
      <c r="J82" s="142"/>
      <c r="K82" s="142"/>
      <c r="L82" s="142"/>
      <c r="M82" s="142"/>
    </row>
    <row r="83" spans="1:13" ht="14.25">
      <c r="A83" s="133">
        <v>81</v>
      </c>
      <c r="B83" s="134"/>
      <c r="C83" s="135"/>
      <c r="D83" s="136"/>
      <c r="E83" s="137"/>
      <c r="F83" s="138"/>
      <c r="G83" s="139"/>
      <c r="H83" s="144"/>
      <c r="I83" s="141"/>
      <c r="J83" s="142"/>
      <c r="K83" s="142"/>
      <c r="L83" s="142"/>
      <c r="M83" s="142"/>
    </row>
    <row r="84" spans="1:13" ht="14.25">
      <c r="A84" s="133">
        <v>82</v>
      </c>
      <c r="B84" s="134"/>
      <c r="C84" s="135"/>
      <c r="D84" s="136"/>
      <c r="E84" s="137"/>
      <c r="F84" s="138"/>
      <c r="G84" s="139"/>
      <c r="H84" s="144"/>
      <c r="I84" s="141"/>
      <c r="J84" s="142"/>
      <c r="K84" s="142"/>
      <c r="L84" s="142"/>
      <c r="M84" s="142"/>
    </row>
    <row r="85" spans="1:13" ht="14.25">
      <c r="A85" s="133">
        <v>83</v>
      </c>
      <c r="B85" s="134"/>
      <c r="C85" s="135"/>
      <c r="D85" s="136"/>
      <c r="E85" s="137"/>
      <c r="F85" s="138"/>
      <c r="G85" s="139"/>
      <c r="H85" s="144"/>
      <c r="I85" s="141"/>
      <c r="J85" s="142"/>
      <c r="K85" s="142"/>
      <c r="L85" s="142"/>
      <c r="M85" s="142"/>
    </row>
    <row r="86" spans="1:13" ht="14.25">
      <c r="A86" s="133">
        <v>84</v>
      </c>
      <c r="B86" s="134"/>
      <c r="C86" s="135"/>
      <c r="D86" s="136"/>
      <c r="E86" s="137"/>
      <c r="F86" s="138"/>
      <c r="G86" s="139"/>
      <c r="H86" s="144"/>
      <c r="I86" s="141"/>
      <c r="J86" s="142"/>
      <c r="K86" s="142"/>
      <c r="L86" s="142"/>
      <c r="M86" s="142"/>
    </row>
    <row r="87" spans="1:13" ht="14.25">
      <c r="A87" s="133">
        <v>85</v>
      </c>
      <c r="B87" s="134"/>
      <c r="C87" s="135"/>
      <c r="D87" s="136"/>
      <c r="E87" s="137"/>
      <c r="F87" s="138"/>
      <c r="G87" s="139"/>
      <c r="H87" s="144"/>
      <c r="I87" s="141"/>
      <c r="J87" s="142"/>
      <c r="K87" s="142"/>
      <c r="L87" s="142"/>
      <c r="M87" s="142"/>
    </row>
    <row r="88" spans="1:13" ht="14.25">
      <c r="A88" s="133">
        <v>86</v>
      </c>
      <c r="B88" s="134"/>
      <c r="C88" s="135"/>
      <c r="D88" s="136"/>
      <c r="E88" s="137"/>
      <c r="F88" s="138"/>
      <c r="G88" s="139"/>
      <c r="H88" s="144"/>
      <c r="I88" s="141"/>
      <c r="J88" s="142"/>
      <c r="K88" s="142"/>
      <c r="L88" s="142"/>
      <c r="M88" s="142"/>
    </row>
    <row r="89" spans="1:13" ht="14.25">
      <c r="A89" s="133">
        <v>87</v>
      </c>
      <c r="B89" s="134"/>
      <c r="C89" s="135"/>
      <c r="D89" s="136"/>
      <c r="E89" s="137"/>
      <c r="F89" s="138"/>
      <c r="G89" s="139"/>
      <c r="H89" s="144"/>
      <c r="I89" s="141"/>
      <c r="J89" s="142"/>
      <c r="K89" s="142"/>
      <c r="L89" s="142"/>
      <c r="M89" s="142"/>
    </row>
    <row r="90" spans="1:13" ht="14.25">
      <c r="A90" s="133">
        <v>88</v>
      </c>
      <c r="B90" s="134"/>
      <c r="C90" s="135"/>
      <c r="D90" s="136"/>
      <c r="E90" s="137"/>
      <c r="F90" s="138"/>
      <c r="G90" s="139"/>
      <c r="H90" s="144"/>
      <c r="I90" s="141"/>
      <c r="J90" s="142"/>
      <c r="K90" s="142"/>
      <c r="L90" s="142"/>
      <c r="M90" s="142"/>
    </row>
    <row r="91" spans="1:13" ht="14.25">
      <c r="A91" s="133">
        <v>89</v>
      </c>
      <c r="B91" s="134"/>
      <c r="C91" s="135"/>
      <c r="D91" s="136"/>
      <c r="E91" s="137"/>
      <c r="F91" s="138"/>
      <c r="G91" s="139"/>
      <c r="H91" s="144"/>
      <c r="I91" s="141"/>
      <c r="J91" s="142"/>
      <c r="K91" s="142"/>
      <c r="L91" s="142"/>
      <c r="M91" s="142"/>
    </row>
    <row r="92" spans="1:13" ht="14.25">
      <c r="A92" s="133">
        <v>90</v>
      </c>
      <c r="B92" s="134"/>
      <c r="C92" s="135"/>
      <c r="D92" s="136"/>
      <c r="E92" s="137"/>
      <c r="F92" s="138"/>
      <c r="G92" s="139"/>
      <c r="H92" s="144"/>
      <c r="I92" s="141"/>
      <c r="J92" s="142"/>
      <c r="K92" s="142"/>
      <c r="L92" s="142"/>
      <c r="M92" s="142"/>
    </row>
    <row r="93" spans="1:13" ht="14.25">
      <c r="A93" s="133">
        <v>91</v>
      </c>
      <c r="B93" s="134"/>
      <c r="C93" s="135"/>
      <c r="D93" s="136"/>
      <c r="E93" s="137"/>
      <c r="F93" s="138"/>
      <c r="G93" s="139"/>
      <c r="H93" s="144"/>
      <c r="I93" s="141"/>
      <c r="J93" s="142"/>
      <c r="K93" s="142"/>
      <c r="L93" s="142"/>
      <c r="M93" s="142"/>
    </row>
    <row r="94" spans="1:13" ht="14.25">
      <c r="A94" s="133">
        <v>92</v>
      </c>
      <c r="B94" s="134"/>
      <c r="C94" s="135"/>
      <c r="D94" s="136"/>
      <c r="E94" s="137"/>
      <c r="F94" s="138"/>
      <c r="G94" s="139"/>
      <c r="H94" s="144"/>
      <c r="I94" s="141"/>
      <c r="J94" s="142"/>
      <c r="K94" s="142"/>
      <c r="L94" s="142"/>
      <c r="M94" s="142"/>
    </row>
    <row r="95" spans="1:13" ht="14.25">
      <c r="A95" s="133">
        <v>93</v>
      </c>
      <c r="B95" s="134"/>
      <c r="C95" s="135"/>
      <c r="D95" s="136"/>
      <c r="E95" s="137"/>
      <c r="F95" s="138"/>
      <c r="G95" s="139"/>
      <c r="H95" s="144"/>
      <c r="I95" s="141"/>
      <c r="J95" s="142"/>
      <c r="K95" s="142"/>
      <c r="L95" s="142"/>
      <c r="M95" s="142"/>
    </row>
    <row r="96" spans="1:13" ht="14.25">
      <c r="A96" s="133">
        <v>94</v>
      </c>
      <c r="B96" s="134"/>
      <c r="C96" s="135"/>
      <c r="D96" s="136"/>
      <c r="E96" s="137"/>
      <c r="F96" s="138"/>
      <c r="G96" s="139"/>
      <c r="H96" s="144"/>
      <c r="I96" s="141"/>
      <c r="J96" s="142"/>
      <c r="K96" s="142"/>
      <c r="L96" s="142"/>
      <c r="M96" s="142"/>
    </row>
    <row r="97" spans="1:13" ht="14.25">
      <c r="A97" s="133">
        <v>95</v>
      </c>
      <c r="B97" s="134"/>
      <c r="C97" s="135"/>
      <c r="D97" s="136"/>
      <c r="E97" s="137"/>
      <c r="F97" s="138"/>
      <c r="G97" s="139"/>
      <c r="H97" s="144"/>
      <c r="I97" s="141"/>
      <c r="J97" s="142"/>
      <c r="K97" s="142"/>
      <c r="L97" s="142"/>
      <c r="M97" s="142"/>
    </row>
    <row r="98" spans="1:13" ht="14.25">
      <c r="A98" s="133">
        <v>96</v>
      </c>
      <c r="B98" s="134"/>
      <c r="C98" s="135"/>
      <c r="D98" s="136"/>
      <c r="E98" s="137"/>
      <c r="F98" s="138"/>
      <c r="G98" s="139"/>
      <c r="H98" s="144"/>
      <c r="I98" s="141"/>
      <c r="J98" s="142"/>
      <c r="K98" s="142"/>
      <c r="L98" s="142"/>
      <c r="M98" s="142"/>
    </row>
    <row r="99" spans="1:13" ht="14.25">
      <c r="A99" s="133">
        <v>97</v>
      </c>
      <c r="B99" s="134"/>
      <c r="C99" s="135"/>
      <c r="D99" s="136"/>
      <c r="E99" s="137"/>
      <c r="F99" s="138"/>
      <c r="G99" s="139"/>
      <c r="H99" s="144"/>
      <c r="I99" s="141"/>
      <c r="J99" s="142"/>
      <c r="K99" s="142"/>
      <c r="L99" s="142"/>
      <c r="M99" s="142"/>
    </row>
    <row r="100" spans="1:13" ht="14.25">
      <c r="A100" s="133">
        <v>98</v>
      </c>
      <c r="B100" s="134"/>
      <c r="C100" s="135"/>
      <c r="D100" s="136"/>
      <c r="E100" s="137"/>
      <c r="F100" s="138"/>
      <c r="G100" s="139"/>
      <c r="H100" s="144"/>
      <c r="I100" s="141"/>
      <c r="J100" s="142"/>
      <c r="K100" s="142"/>
      <c r="L100" s="142"/>
      <c r="M100" s="142"/>
    </row>
    <row r="101" spans="1:13" ht="14.25">
      <c r="A101" s="133">
        <v>99</v>
      </c>
      <c r="B101" s="134"/>
      <c r="C101" s="135"/>
      <c r="D101" s="136"/>
      <c r="E101" s="137"/>
      <c r="F101" s="138"/>
      <c r="G101" s="139"/>
      <c r="H101" s="144"/>
      <c r="I101" s="141"/>
      <c r="J101" s="142"/>
      <c r="K101" s="142"/>
      <c r="L101" s="142"/>
      <c r="M101" s="142"/>
    </row>
    <row r="102" spans="1:13" ht="14.25">
      <c r="A102" s="133">
        <v>100</v>
      </c>
      <c r="B102" s="134"/>
      <c r="C102" s="135"/>
      <c r="D102" s="136"/>
      <c r="E102" s="137"/>
      <c r="F102" s="138"/>
      <c r="G102" s="139"/>
      <c r="H102" s="144"/>
      <c r="I102" s="141"/>
      <c r="J102" s="142"/>
      <c r="K102" s="142"/>
      <c r="L102" s="142"/>
      <c r="M102" s="142"/>
    </row>
    <row r="103" spans="1:13" ht="14.25">
      <c r="A103" s="133">
        <v>101</v>
      </c>
      <c r="B103" s="134"/>
      <c r="C103" s="135"/>
      <c r="D103" s="136"/>
      <c r="E103" s="137"/>
      <c r="F103" s="138"/>
      <c r="G103" s="139"/>
      <c r="H103" s="144"/>
      <c r="I103" s="141"/>
      <c r="J103" s="142"/>
      <c r="K103" s="142"/>
      <c r="L103" s="142"/>
      <c r="M103" s="142"/>
    </row>
    <row r="104" spans="1:13" ht="14.25">
      <c r="A104" s="133">
        <v>102</v>
      </c>
      <c r="B104" s="134"/>
      <c r="C104" s="135"/>
      <c r="D104" s="136"/>
      <c r="E104" s="137"/>
      <c r="F104" s="138"/>
      <c r="G104" s="139"/>
      <c r="H104" s="144"/>
      <c r="I104" s="141"/>
      <c r="J104" s="142"/>
      <c r="K104" s="142"/>
      <c r="L104" s="142"/>
      <c r="M104" s="142"/>
    </row>
    <row r="105" spans="1:13" ht="14.25">
      <c r="A105" s="133">
        <v>103</v>
      </c>
      <c r="B105" s="134"/>
      <c r="C105" s="135"/>
      <c r="D105" s="136"/>
      <c r="E105" s="137"/>
      <c r="F105" s="138"/>
      <c r="G105" s="139"/>
      <c r="H105" s="144"/>
      <c r="I105" s="141"/>
      <c r="J105" s="142"/>
      <c r="K105" s="142"/>
      <c r="L105" s="142"/>
      <c r="M105" s="142"/>
    </row>
    <row r="106" spans="1:13" ht="14.25">
      <c r="A106" s="133">
        <v>104</v>
      </c>
      <c r="B106" s="134"/>
      <c r="C106" s="135"/>
      <c r="D106" s="136"/>
      <c r="E106" s="137"/>
      <c r="F106" s="138"/>
      <c r="G106" s="139"/>
      <c r="H106" s="144"/>
      <c r="I106" s="141"/>
      <c r="J106" s="142"/>
      <c r="K106" s="142"/>
      <c r="L106" s="142"/>
      <c r="M106" s="142"/>
    </row>
    <row r="107" spans="1:13" ht="14.25">
      <c r="A107" s="133">
        <v>105</v>
      </c>
      <c r="B107" s="134"/>
      <c r="C107" s="135"/>
      <c r="D107" s="136"/>
      <c r="E107" s="137"/>
      <c r="F107" s="138"/>
      <c r="G107" s="139"/>
      <c r="H107" s="144"/>
      <c r="I107" s="141"/>
      <c r="J107" s="142"/>
      <c r="K107" s="142"/>
      <c r="L107" s="142"/>
      <c r="M107" s="142"/>
    </row>
    <row r="108" spans="1:13" ht="14.25">
      <c r="A108" s="133">
        <v>106</v>
      </c>
      <c r="B108" s="134"/>
      <c r="C108" s="135"/>
      <c r="D108" s="136"/>
      <c r="E108" s="137"/>
      <c r="F108" s="138"/>
      <c r="G108" s="139"/>
      <c r="H108" s="144"/>
      <c r="I108" s="141"/>
      <c r="J108" s="142"/>
      <c r="K108" s="142"/>
      <c r="L108" s="142"/>
      <c r="M108" s="142"/>
    </row>
    <row r="109" spans="1:13" ht="14.25">
      <c r="A109" s="133">
        <v>107</v>
      </c>
      <c r="B109" s="134"/>
      <c r="C109" s="135"/>
      <c r="D109" s="136"/>
      <c r="E109" s="137"/>
      <c r="F109" s="138"/>
      <c r="G109" s="139"/>
      <c r="H109" s="144"/>
      <c r="I109" s="141"/>
      <c r="J109" s="142"/>
      <c r="K109" s="142"/>
      <c r="L109" s="142"/>
      <c r="M109" s="142"/>
    </row>
    <row r="110" spans="1:13" ht="14.25">
      <c r="A110" s="133">
        <v>108</v>
      </c>
      <c r="B110" s="134"/>
      <c r="C110" s="135"/>
      <c r="D110" s="136"/>
      <c r="E110" s="137"/>
      <c r="F110" s="138"/>
      <c r="G110" s="139"/>
      <c r="H110" s="144"/>
      <c r="I110" s="141"/>
      <c r="J110" s="142"/>
      <c r="K110" s="142"/>
      <c r="L110" s="142"/>
      <c r="M110" s="142"/>
    </row>
    <row r="111" spans="1:13" ht="14.25">
      <c r="A111" s="133">
        <v>109</v>
      </c>
      <c r="B111" s="134"/>
      <c r="C111" s="135"/>
      <c r="D111" s="136"/>
      <c r="E111" s="137"/>
      <c r="F111" s="138"/>
      <c r="G111" s="139"/>
      <c r="H111" s="144"/>
      <c r="I111" s="141"/>
      <c r="J111" s="142"/>
      <c r="K111" s="142"/>
      <c r="L111" s="142"/>
      <c r="M111" s="142"/>
    </row>
    <row r="112" spans="1:13" ht="14.25">
      <c r="A112" s="133">
        <v>110</v>
      </c>
      <c r="B112" s="134"/>
      <c r="C112" s="135"/>
      <c r="D112" s="136"/>
      <c r="E112" s="137"/>
      <c r="F112" s="138"/>
      <c r="G112" s="139"/>
      <c r="H112" s="144"/>
      <c r="I112" s="141"/>
      <c r="J112" s="142"/>
      <c r="K112" s="142"/>
      <c r="L112" s="142"/>
      <c r="M112" s="142"/>
    </row>
  </sheetData>
  <sheetProtection/>
  <mergeCells count="7">
    <mergeCell ref="K1:M1"/>
    <mergeCell ref="A1:A2"/>
    <mergeCell ref="C1:C2"/>
    <mergeCell ref="D1:E1"/>
    <mergeCell ref="F1:F2"/>
    <mergeCell ref="I1:I2"/>
    <mergeCell ref="J1:J2"/>
  </mergeCells>
  <conditionalFormatting sqref="G3:G112">
    <cfRule type="expression" priority="2" dxfId="13" stopIfTrue="1">
      <formula>J3="女"</formula>
    </cfRule>
  </conditionalFormatting>
  <conditionalFormatting sqref="G9:G14">
    <cfRule type="expression" priority="1" dxfId="13" stopIfTrue="1">
      <formula>J9="女"</formula>
    </cfRule>
  </conditionalFormatting>
  <dataValidations count="7">
    <dataValidation allowBlank="1" showInputMessage="1" imeMode="disabled" sqref="K1:M112"/>
    <dataValidation allowBlank="1" showInputMessage="1" showErrorMessage="1" imeMode="disabled" sqref="E3:E112"/>
    <dataValidation type="list" allowBlank="1" showInputMessage="1" showErrorMessage="1" promptTitle="登録の種類" prompt="登録の種類には　継続　新規　追加　のいずれかを入力してください" errorTitle="不正な値" error="不正な値が入力されました" imeMode="on" sqref="F3:F112">
      <formula1>"継続,新規,追加"</formula1>
    </dataValidation>
    <dataValidation allowBlank="1" showInputMessage="1" showErrorMessage="1" promptTitle="氏名の入力" prompt="姓と名の間は全角スペースを入力してください&#10;例：　高橋　尚子" imeMode="hiragana" sqref="G3:G112"/>
    <dataValidation allowBlank="1" showInputMessage="1" promptTitle="登録月日の入力" prompt="月/日（例：9/30）で入力" imeMode="off" sqref="B3:B112"/>
    <dataValidation type="whole" allowBlank="1" showInputMessage="1" showErrorMessage="1" imeMode="disabled" sqref="I3:I112">
      <formula1>1</formula1>
      <formula2>6</formula2>
    </dataValidation>
    <dataValidation allowBlank="1" showInputMessage="1" promptTitle="フリガナ" prompt="全角カタカナで入力して姓と名の間は全角1文字スペースを入力してください&#10;例：タカハシ　ナオコ" imeMode="fullKatakana" sqref="H3:H112"/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BB189"/>
  <sheetViews>
    <sheetView showGridLines="0" showZeros="0" zoomScalePageLayoutView="0" workbookViewId="0" topLeftCell="B1">
      <selection activeCell="O7" sqref="O7"/>
    </sheetView>
  </sheetViews>
  <sheetFormatPr defaultColWidth="8.625" defaultRowHeight="13.5"/>
  <cols>
    <col min="1" max="1" width="8.75390625" style="1" hidden="1" customWidth="1"/>
    <col min="2" max="2" width="12.125" style="1" customWidth="1"/>
    <col min="3" max="3" width="12.50390625" style="1" hidden="1" customWidth="1"/>
    <col min="4" max="4" width="13.875" style="1" customWidth="1"/>
    <col min="5" max="5" width="9.625" style="1" hidden="1" customWidth="1"/>
    <col min="6" max="6" width="15.375" style="3" customWidth="1"/>
    <col min="7" max="7" width="10.25390625" style="3" hidden="1" customWidth="1"/>
    <col min="8" max="8" width="5.625" style="3" hidden="1" customWidth="1"/>
    <col min="9" max="9" width="8.00390625" style="3" customWidth="1"/>
    <col min="10" max="10" width="8.125" style="3" hidden="1" customWidth="1"/>
    <col min="11" max="11" width="4.875" style="3" customWidth="1"/>
    <col min="12" max="12" width="5.625" style="2" hidden="1" customWidth="1"/>
    <col min="13" max="13" width="6.375" style="2" hidden="1" customWidth="1"/>
    <col min="14" max="14" width="6.875" style="1" hidden="1" customWidth="1"/>
    <col min="15" max="15" width="10.625" style="7" customWidth="1"/>
    <col min="16" max="16" width="5.00390625" style="19" hidden="1" customWidth="1"/>
    <col min="17" max="17" width="10.625" style="6" customWidth="1"/>
    <col min="18" max="18" width="11.25390625" style="7" hidden="1" customWidth="1"/>
    <col min="19" max="19" width="9.50390625" style="8" hidden="1" customWidth="1"/>
    <col min="20" max="20" width="10.625" style="6" customWidth="1"/>
    <col min="21" max="21" width="10.00390625" style="71" hidden="1" customWidth="1"/>
    <col min="22" max="22" width="10.625" style="8" customWidth="1"/>
    <col min="23" max="23" width="20.375" style="6" hidden="1" customWidth="1"/>
    <col min="24" max="24" width="19.375" style="3" hidden="1" customWidth="1"/>
    <col min="25" max="25" width="10.625" style="1" customWidth="1"/>
    <col min="26" max="27" width="4.875" style="1" hidden="1" customWidth="1"/>
    <col min="28" max="28" width="5.625" style="1" hidden="1" customWidth="1"/>
    <col min="29" max="29" width="4.75390625" style="1" hidden="1" customWidth="1"/>
    <col min="30" max="30" width="5.25390625" style="1" hidden="1" customWidth="1"/>
    <col min="31" max="31" width="4.125" style="1" hidden="1" customWidth="1"/>
    <col min="32" max="32" width="6.00390625" style="1" hidden="1" customWidth="1"/>
    <col min="33" max="33" width="7.00390625" style="1" customWidth="1"/>
    <col min="34" max="34" width="6.25390625" style="1" customWidth="1"/>
    <col min="35" max="35" width="7.25390625" style="1" customWidth="1"/>
    <col min="36" max="36" width="6.375" style="1" customWidth="1"/>
    <col min="37" max="37" width="4.75390625" style="1" hidden="1" customWidth="1"/>
    <col min="38" max="38" width="4.375" style="1" hidden="1" customWidth="1"/>
    <col min="39" max="39" width="5.50390625" style="1" hidden="1" customWidth="1"/>
    <col min="40" max="40" width="10.125" style="1" hidden="1" customWidth="1"/>
    <col min="41" max="41" width="7.50390625" style="1" hidden="1" customWidth="1"/>
    <col min="42" max="42" width="11.625" style="1" hidden="1" customWidth="1"/>
    <col min="43" max="43" width="10.625" style="1" hidden="1" customWidth="1"/>
    <col min="44" max="44" width="11.125" style="1" hidden="1" customWidth="1"/>
    <col min="45" max="45" width="10.875" style="1" hidden="1" customWidth="1"/>
    <col min="46" max="46" width="11.00390625" style="1" hidden="1" customWidth="1"/>
    <col min="47" max="47" width="9.875" style="1" hidden="1" customWidth="1"/>
    <col min="48" max="48" width="8.00390625" style="1" hidden="1" customWidth="1"/>
    <col min="49" max="49" width="9.75390625" style="1" hidden="1" customWidth="1"/>
    <col min="50" max="50" width="8.875" style="1" hidden="1" customWidth="1"/>
    <col min="51" max="51" width="10.625" style="1" customWidth="1"/>
    <col min="52" max="52" width="8.50390625" style="1" customWidth="1"/>
    <col min="53" max="53" width="9.25390625" style="1" customWidth="1"/>
    <col min="54" max="54" width="7.50390625" style="1" customWidth="1"/>
    <col min="55" max="55" width="10.125" style="1" customWidth="1"/>
    <col min="56" max="56" width="9.75390625" style="1" customWidth="1"/>
    <col min="57" max="57" width="12.125" style="1" customWidth="1"/>
    <col min="58" max="58" width="12.625" style="1" customWidth="1"/>
    <col min="59" max="59" width="11.625" style="1" customWidth="1"/>
    <col min="60" max="60" width="13.00390625" style="1" customWidth="1"/>
    <col min="61" max="16384" width="8.625" style="1" customWidth="1"/>
  </cols>
  <sheetData>
    <row r="1" spans="2:53" ht="30.75" customHeight="1">
      <c r="B1" s="23" t="s">
        <v>39</v>
      </c>
      <c r="C1" s="23"/>
      <c r="D1" s="85" t="s">
        <v>253</v>
      </c>
      <c r="E1" s="25"/>
      <c r="F1" s="146"/>
      <c r="G1" s="147"/>
      <c r="H1" s="147"/>
      <c r="I1" s="172"/>
      <c r="J1" s="172"/>
      <c r="K1" s="172"/>
      <c r="L1" s="173"/>
      <c r="M1" s="173"/>
      <c r="N1" s="174"/>
      <c r="O1" s="174"/>
      <c r="P1" s="175"/>
      <c r="Q1" s="175"/>
      <c r="R1" s="176"/>
      <c r="S1" s="26"/>
      <c r="T1" s="27"/>
      <c r="U1" s="265" t="s">
        <v>74</v>
      </c>
      <c r="V1" s="26"/>
      <c r="W1" s="27"/>
      <c r="X1" s="29"/>
      <c r="Y1" s="26"/>
      <c r="Z1" s="26"/>
      <c r="AA1" s="264"/>
      <c r="AB1" s="125"/>
      <c r="AC1" s="125"/>
      <c r="AD1" s="125"/>
      <c r="AE1" s="26"/>
      <c r="AF1" s="26"/>
      <c r="AG1" s="264" t="s">
        <v>71</v>
      </c>
      <c r="AH1" s="195"/>
      <c r="AI1" s="191"/>
      <c r="AJ1" s="192"/>
      <c r="AY1" s="197"/>
      <c r="AZ1" s="197"/>
      <c r="BA1" s="197"/>
    </row>
    <row r="2" spans="2:53" s="18" customFormat="1" ht="28.5" customHeight="1">
      <c r="B2" s="23" t="s">
        <v>40</v>
      </c>
      <c r="C2" s="23"/>
      <c r="D2" s="123">
        <f>IF(D1="","",VLOOKUP(D1,$AT$6:$AU$189,2,FALSE))</f>
        <v>0</v>
      </c>
      <c r="E2" s="30"/>
      <c r="F2" s="38"/>
      <c r="G2" s="148"/>
      <c r="H2" s="148"/>
      <c r="I2" s="149" t="s">
        <v>75</v>
      </c>
      <c r="J2" s="149" t="s">
        <v>42</v>
      </c>
      <c r="K2" s="150"/>
      <c r="L2" s="122"/>
      <c r="M2" s="122"/>
      <c r="N2" s="122"/>
      <c r="O2" s="122"/>
      <c r="P2" s="33"/>
      <c r="Q2" s="95"/>
      <c r="R2" s="36"/>
      <c r="S2" s="30"/>
      <c r="T2" s="37"/>
      <c r="U2" s="266"/>
      <c r="V2" s="34"/>
      <c r="W2" s="35"/>
      <c r="X2" s="38"/>
      <c r="Y2" s="30"/>
      <c r="Z2" s="30"/>
      <c r="AA2" s="264"/>
      <c r="AB2" s="125"/>
      <c r="AC2" s="125"/>
      <c r="AD2" s="125"/>
      <c r="AE2" s="30"/>
      <c r="AF2" s="30"/>
      <c r="AG2" s="264"/>
      <c r="AH2" s="196"/>
      <c r="AI2" s="193"/>
      <c r="AJ2" s="194"/>
      <c r="AK2" s="1"/>
      <c r="AL2" s="1"/>
      <c r="AM2" s="1"/>
      <c r="AY2" s="198"/>
      <c r="AZ2" s="198"/>
      <c r="BA2" s="198"/>
    </row>
    <row r="3" spans="2:53" s="18" customFormat="1" ht="28.5" customHeight="1">
      <c r="B3" s="24" t="s">
        <v>38</v>
      </c>
      <c r="C3" s="24"/>
      <c r="D3" s="86"/>
      <c r="E3" s="40"/>
      <c r="F3" s="152"/>
      <c r="G3" s="151"/>
      <c r="H3" s="151"/>
      <c r="I3" s="152" t="s">
        <v>19</v>
      </c>
      <c r="J3" s="152"/>
      <c r="K3" s="152"/>
      <c r="L3" s="32"/>
      <c r="M3" s="32"/>
      <c r="N3" s="30"/>
      <c r="O3" s="189">
        <f>COUNTIF(J7:J116,1)-COUNTIF(AR7:AR121,0)</f>
        <v>0</v>
      </c>
      <c r="P3" s="88"/>
      <c r="Q3" s="88"/>
      <c r="R3" s="31"/>
      <c r="S3" s="30"/>
      <c r="T3" s="95"/>
      <c r="U3" s="266"/>
      <c r="V3" s="190" t="s">
        <v>36</v>
      </c>
      <c r="W3" s="35"/>
      <c r="X3" s="38"/>
      <c r="Y3" s="30"/>
      <c r="Z3" s="30"/>
      <c r="AA3" s="264"/>
      <c r="AB3" s="125"/>
      <c r="AC3" s="125"/>
      <c r="AD3" s="125"/>
      <c r="AE3" s="30"/>
      <c r="AF3" s="30"/>
      <c r="AG3" s="264"/>
      <c r="AH3" s="196"/>
      <c r="AI3" s="193"/>
      <c r="AJ3" s="194"/>
      <c r="AK3" s="11"/>
      <c r="AL3" s="11"/>
      <c r="AM3" s="11"/>
      <c r="AY3" s="198"/>
      <c r="AZ3" s="198"/>
      <c r="BA3" s="198"/>
    </row>
    <row r="4" spans="2:53" s="18" customFormat="1" ht="28.5" customHeight="1" thickBot="1">
      <c r="B4" s="24" t="s">
        <v>33</v>
      </c>
      <c r="C4" s="24"/>
      <c r="D4" s="86"/>
      <c r="E4" s="40"/>
      <c r="F4" s="152"/>
      <c r="G4" s="151"/>
      <c r="H4" s="151"/>
      <c r="I4" s="152" t="s">
        <v>20</v>
      </c>
      <c r="J4" s="152"/>
      <c r="K4" s="152"/>
      <c r="L4" s="32"/>
      <c r="M4" s="32"/>
      <c r="N4" s="30"/>
      <c r="O4" s="189">
        <f>COUNTIF(J7:J116,2)-COUNTIF(AS7:AS121,0)</f>
        <v>0</v>
      </c>
      <c r="P4" s="33"/>
      <c r="Q4" s="65">
        <f>O3+O4</f>
        <v>0</v>
      </c>
      <c r="R4" s="31"/>
      <c r="S4" s="30"/>
      <c r="T4" s="95"/>
      <c r="U4" s="267"/>
      <c r="V4" s="94">
        <f>($AF$118*500)+($AK$17*1000)</f>
        <v>0</v>
      </c>
      <c r="W4" s="35"/>
      <c r="X4" s="38"/>
      <c r="Y4" s="30"/>
      <c r="Z4" s="30"/>
      <c r="AA4" s="107"/>
      <c r="AB4" s="126"/>
      <c r="AC4" s="126"/>
      <c r="AD4" s="126"/>
      <c r="AE4" s="30"/>
      <c r="AF4" s="30"/>
      <c r="AG4" s="107" t="s">
        <v>72</v>
      </c>
      <c r="AH4" s="196"/>
      <c r="AI4" s="193"/>
      <c r="AJ4" s="194"/>
      <c r="AK4" s="11"/>
      <c r="AL4" s="11"/>
      <c r="AM4" s="11"/>
      <c r="AY4" s="198"/>
      <c r="AZ4" s="198"/>
      <c r="BA4" s="198"/>
    </row>
    <row r="5" spans="2:53" s="18" customFormat="1" ht="28.5" customHeight="1" thickBot="1" thickTop="1">
      <c r="B5" s="93" t="s">
        <v>274</v>
      </c>
      <c r="C5" s="93"/>
      <c r="D5" s="30"/>
      <c r="E5" s="30"/>
      <c r="F5" s="177" t="s">
        <v>273</v>
      </c>
      <c r="G5" s="38"/>
      <c r="H5" s="38"/>
      <c r="I5" s="38"/>
      <c r="J5" s="153"/>
      <c r="K5" s="152"/>
      <c r="L5" s="32"/>
      <c r="M5" s="32"/>
      <c r="N5" s="30"/>
      <c r="O5" s="66"/>
      <c r="P5" s="41"/>
      <c r="Q5" s="41"/>
      <c r="R5" s="36"/>
      <c r="S5" s="30"/>
      <c r="T5" s="37"/>
      <c r="U5" s="41"/>
      <c r="V5" s="41"/>
      <c r="W5" s="35"/>
      <c r="X5" s="38"/>
      <c r="Y5" s="30"/>
      <c r="Z5" s="30"/>
      <c r="AA5" s="39"/>
      <c r="AB5" s="39"/>
      <c r="AC5" s="39"/>
      <c r="AD5" s="39"/>
      <c r="AE5" s="30"/>
      <c r="AF5" s="30"/>
      <c r="AG5" s="30"/>
      <c r="AH5" s="30"/>
      <c r="AI5" s="30"/>
      <c r="AJ5" s="30"/>
      <c r="AK5" s="11"/>
      <c r="AL5" s="11"/>
      <c r="AM5" s="11"/>
      <c r="AY5" s="198"/>
      <c r="AZ5" s="198"/>
      <c r="BA5" s="198"/>
    </row>
    <row r="6" spans="1:53" s="5" customFormat="1" ht="14.25" thickBot="1">
      <c r="A6" s="4" t="s">
        <v>5</v>
      </c>
      <c r="B6" s="108" t="s">
        <v>0</v>
      </c>
      <c r="C6" s="127" t="s">
        <v>254</v>
      </c>
      <c r="D6" s="167" t="s">
        <v>4</v>
      </c>
      <c r="E6" s="178"/>
      <c r="F6" s="168" t="s">
        <v>76</v>
      </c>
      <c r="G6" s="169" t="s">
        <v>2</v>
      </c>
      <c r="H6" s="170" t="s">
        <v>6</v>
      </c>
      <c r="I6" s="169" t="s">
        <v>73</v>
      </c>
      <c r="J6" s="169" t="s">
        <v>3</v>
      </c>
      <c r="K6" s="169" t="s">
        <v>1</v>
      </c>
      <c r="L6" s="109" t="s">
        <v>7</v>
      </c>
      <c r="M6" s="109" t="s">
        <v>18</v>
      </c>
      <c r="N6" s="110" t="s">
        <v>11</v>
      </c>
      <c r="O6" s="111" t="s">
        <v>43</v>
      </c>
      <c r="P6" s="108" t="s">
        <v>12</v>
      </c>
      <c r="Q6" s="112" t="s">
        <v>17</v>
      </c>
      <c r="R6" s="182"/>
      <c r="S6" s="182"/>
      <c r="T6" s="113" t="s">
        <v>44</v>
      </c>
      <c r="U6" s="114" t="s">
        <v>12</v>
      </c>
      <c r="V6" s="115" t="s">
        <v>17</v>
      </c>
      <c r="W6" s="186"/>
      <c r="X6" s="186"/>
      <c r="Y6" s="116" t="s">
        <v>32</v>
      </c>
      <c r="Z6" s="10" t="s">
        <v>12</v>
      </c>
      <c r="AA6" s="17" t="s">
        <v>16</v>
      </c>
      <c r="AB6" s="187"/>
      <c r="AC6" s="187"/>
      <c r="AD6" s="9"/>
      <c r="AG6" s="238" t="s">
        <v>25</v>
      </c>
      <c r="AH6" s="239"/>
      <c r="AI6" s="239"/>
      <c r="AJ6" s="240"/>
      <c r="AM6" s="42"/>
      <c r="AN6" s="42"/>
      <c r="AO6" s="42"/>
      <c r="AP6" s="42"/>
      <c r="AQ6" s="64" t="s">
        <v>41</v>
      </c>
      <c r="AR6" s="64" t="s">
        <v>19</v>
      </c>
      <c r="AS6" s="64" t="s">
        <v>20</v>
      </c>
      <c r="AT6" s="5" t="s">
        <v>253</v>
      </c>
      <c r="AY6" s="199"/>
      <c r="AZ6" s="199"/>
      <c r="BA6" s="199"/>
    </row>
    <row r="7" spans="1:53" ht="14.25">
      <c r="A7" s="99">
        <f>Y7</f>
        <v>0</v>
      </c>
      <c r="B7" s="96">
        <f>IF($D$1="","",$D$2)</f>
        <v>0</v>
      </c>
      <c r="C7" s="128"/>
      <c r="D7" s="78">
        <f>'登録DATA'!E3</f>
        <v>0</v>
      </c>
      <c r="E7" s="179"/>
      <c r="F7" s="145">
        <f>'登録DATA'!G3</f>
        <v>0</v>
      </c>
      <c r="G7" s="145">
        <f>'登録DATA'!H3</f>
        <v>0</v>
      </c>
      <c r="H7" s="154">
        <f>F7</f>
        <v>0</v>
      </c>
      <c r="I7" s="158">
        <f>'登録DATA'!J3</f>
        <v>0</v>
      </c>
      <c r="J7" s="171" t="b">
        <f>IF(I7="男",1,IF(I7=1,1,IF(I7=2,2,IF(I7="女",2))))</f>
        <v>0</v>
      </c>
      <c r="K7" s="159">
        <f>'登録DATA'!I3</f>
        <v>0</v>
      </c>
      <c r="L7" s="49"/>
      <c r="M7" s="49"/>
      <c r="N7" s="54"/>
      <c r="O7" s="82"/>
      <c r="P7" s="51">
        <f>IF(O7="","",IF(J7=1,VLOOKUP(O7,'男子種目コード'!$A$1:$B$15,2,FALSE),IF(J7=2,VLOOKUP(O7,'女子種目コード'!$A$1:$B$14,2,FALSE))))</f>
      </c>
      <c r="Q7" s="69"/>
      <c r="R7" s="183"/>
      <c r="S7" s="183"/>
      <c r="T7" s="82"/>
      <c r="U7" s="51">
        <f>IF(T7="","",IF(J7=1,VLOOKUP(T7,'男子種目コード'!$A$1:$B$15,2,FALSE),IF(J7=2,VLOOKUP(T7,'女子種目コード'!$A$1:$B$14,2,FALSE))))</f>
      </c>
      <c r="V7" s="72"/>
      <c r="W7" s="183"/>
      <c r="X7" s="183"/>
      <c r="Y7" s="74"/>
      <c r="Z7" s="20">
        <f>IF(Y7="","",IF(J7=1,VLOOKUP(Y7,'男子種目コード'!$A$1:$B$13,2,FALSE),IF(J7=2,VLOOKUP(Y7,'女子種目コード'!$A$1:$B$10,2,FALSE))))</f>
      </c>
      <c r="AA7" s="12"/>
      <c r="AB7" s="188"/>
      <c r="AC7" s="188"/>
      <c r="AD7" s="14">
        <v>100</v>
      </c>
      <c r="AE7" s="1">
        <f>IF(O7="","",1)</f>
      </c>
      <c r="AF7" s="1">
        <f>IF(T7="","",1)</f>
      </c>
      <c r="AG7" s="243" t="s">
        <v>19</v>
      </c>
      <c r="AH7" s="244"/>
      <c r="AI7" s="244"/>
      <c r="AJ7" s="58"/>
      <c r="AM7" s="26"/>
      <c r="AN7" s="26"/>
      <c r="AO7" s="43">
        <f aca="true" t="shared" si="0" ref="AO7:AO26">IF(OR(AE7=1,Y7=""),0,1)</f>
        <v>0</v>
      </c>
      <c r="AP7" s="26"/>
      <c r="AQ7" s="1">
        <f aca="true" t="shared" si="1" ref="AQ7:AQ26">COUNT(P7,U7)</f>
        <v>0</v>
      </c>
      <c r="AR7" s="1">
        <f aca="true" t="shared" si="2" ref="AR7:AR26">IF(J7=1,AQ7,"")</f>
      </c>
      <c r="AS7" s="1">
        <f aca="true" t="shared" si="3" ref="AS7:AS26">IF(J7=2,AQ7,"")</f>
      </c>
      <c r="AT7" s="1" t="s">
        <v>77</v>
      </c>
      <c r="AU7" s="3">
        <v>2345083</v>
      </c>
      <c r="AY7" s="197"/>
      <c r="AZ7" s="197"/>
      <c r="BA7" s="197"/>
    </row>
    <row r="8" spans="1:53" ht="14.25">
      <c r="A8" s="99">
        <f aca="true" t="shared" si="4" ref="A8:A71">Y8</f>
        <v>0</v>
      </c>
      <c r="B8" s="97">
        <f aca="true" t="shared" si="5" ref="B8:B71">IF($D$1="","",$D$2)</f>
        <v>0</v>
      </c>
      <c r="C8" s="129"/>
      <c r="D8" s="79">
        <f>'登録DATA'!E4</f>
        <v>0</v>
      </c>
      <c r="E8" s="180"/>
      <c r="F8" s="160">
        <f>'登録DATA'!G4</f>
        <v>0</v>
      </c>
      <c r="G8" s="160">
        <f>'登録DATA'!H4</f>
        <v>0</v>
      </c>
      <c r="H8" s="156">
        <f aca="true" t="shared" si="6" ref="H8:H71">F8</f>
        <v>0</v>
      </c>
      <c r="I8" s="161">
        <f>'登録DATA'!J4</f>
        <v>0</v>
      </c>
      <c r="J8" s="155" t="b">
        <f aca="true" t="shared" si="7" ref="J8:J71">IF(I8="男",1,IF(I8=1,1,IF(I8=2,2,IF(I8="女",2))))</f>
        <v>0</v>
      </c>
      <c r="K8" s="162">
        <f>'登録DATA'!I4</f>
        <v>0</v>
      </c>
      <c r="L8" s="50"/>
      <c r="M8" s="50"/>
      <c r="N8" s="55"/>
      <c r="O8" s="83"/>
      <c r="P8" s="51">
        <f>IF(O8="","",IF(J8=1,VLOOKUP(O8,'男子種目コード'!$A$1:$B$15,2,FALSE),IF(J8=2,VLOOKUP(O8,'女子種目コード'!$A$1:$B$14,2,FALSE))))</f>
      </c>
      <c r="Q8" s="67"/>
      <c r="R8" s="184"/>
      <c r="S8" s="184"/>
      <c r="T8" s="83"/>
      <c r="U8" s="51">
        <f>IF(T8="","",IF(J8=1,VLOOKUP(T8,'男子種目コード'!$A$1:$B$15,2,FALSE),IF(J8=2,VLOOKUP(T8,'女子種目コード'!$A$1:$B$14,2,FALSE))))</f>
      </c>
      <c r="V8" s="73"/>
      <c r="W8" s="184"/>
      <c r="X8" s="184"/>
      <c r="Y8" s="75"/>
      <c r="Z8" s="21">
        <f>IF(Y8="","",IF(J8=1,VLOOKUP(Y8,'男子種目コード'!$A$1:$B$13,2,FALSE),IF(J8=2,VLOOKUP(Y8,'女子種目コード'!$A$1:$B$10,2,FALSE))))</f>
      </c>
      <c r="AA8" s="12"/>
      <c r="AB8" s="188"/>
      <c r="AC8" s="188"/>
      <c r="AD8" s="15">
        <v>200</v>
      </c>
      <c r="AE8" s="1">
        <f aca="true" t="shared" si="8" ref="AE8:AE71">IF(O8="","",1)</f>
      </c>
      <c r="AF8" s="1">
        <f aca="true" t="shared" si="9" ref="AF8:AF71">IF(T8="","",1)</f>
      </c>
      <c r="AG8" s="241" t="s">
        <v>24</v>
      </c>
      <c r="AH8" s="242"/>
      <c r="AI8" s="242"/>
      <c r="AJ8" s="119" t="s">
        <v>26</v>
      </c>
      <c r="AM8" s="26"/>
      <c r="AN8" s="26"/>
      <c r="AO8" s="43">
        <f t="shared" si="0"/>
        <v>0</v>
      </c>
      <c r="AP8" s="26"/>
      <c r="AQ8" s="1">
        <f t="shared" si="1"/>
        <v>0</v>
      </c>
      <c r="AR8" s="1">
        <f t="shared" si="2"/>
      </c>
      <c r="AS8" s="1">
        <f t="shared" si="3"/>
      </c>
      <c r="AT8" s="1" t="s">
        <v>78</v>
      </c>
      <c r="AU8" s="3">
        <v>2345085</v>
      </c>
      <c r="AY8" s="197"/>
      <c r="AZ8" s="197"/>
      <c r="BA8" s="197"/>
    </row>
    <row r="9" spans="1:53" ht="14.25">
      <c r="A9" s="99">
        <f t="shared" si="4"/>
        <v>0</v>
      </c>
      <c r="B9" s="97">
        <f t="shared" si="5"/>
        <v>0</v>
      </c>
      <c r="C9" s="129"/>
      <c r="D9" s="79">
        <f>'登録DATA'!E5</f>
        <v>0</v>
      </c>
      <c r="E9" s="180"/>
      <c r="F9" s="160">
        <f>'登録DATA'!G5</f>
        <v>0</v>
      </c>
      <c r="G9" s="160">
        <f>'登録DATA'!H5</f>
        <v>0</v>
      </c>
      <c r="H9" s="156">
        <f t="shared" si="6"/>
        <v>0</v>
      </c>
      <c r="I9" s="161">
        <f>'登録DATA'!J5</f>
        <v>0</v>
      </c>
      <c r="J9" s="155" t="b">
        <f t="shared" si="7"/>
        <v>0</v>
      </c>
      <c r="K9" s="162">
        <f>'登録DATA'!I5</f>
        <v>0</v>
      </c>
      <c r="L9" s="50"/>
      <c r="M9" s="50"/>
      <c r="N9" s="55"/>
      <c r="O9" s="83"/>
      <c r="P9" s="51">
        <f>IF(O9="","",IF(J9=1,VLOOKUP(O9,'男子種目コード'!$A$1:$B$15,2,FALSE),IF(J9=2,VLOOKUP(O9,'女子種目コード'!$A$1:$B$14,2,FALSE))))</f>
      </c>
      <c r="Q9" s="67"/>
      <c r="R9" s="184"/>
      <c r="S9" s="184"/>
      <c r="T9" s="83"/>
      <c r="U9" s="51">
        <f>IF(T9="","",IF(J9=1,VLOOKUP(T9,'男子種目コード'!$A$1:$B$15,2,FALSE),IF(J9=2,VLOOKUP(T9,'女子種目コード'!$A$1:$B$14,2,FALSE))))</f>
      </c>
      <c r="V9" s="73"/>
      <c r="W9" s="184"/>
      <c r="X9" s="184"/>
      <c r="Y9" s="75"/>
      <c r="Z9" s="21">
        <f>IF(Y9="","",IF(J9=1,VLOOKUP(Y9,'男子種目コード'!$A$1:$B$13,2,FALSE),IF(J9=2,VLOOKUP(Y9,'女子種目コード'!$A$1:$B$10,2,FALSE))))</f>
      </c>
      <c r="AA9" s="12"/>
      <c r="AB9" s="188"/>
      <c r="AC9" s="188"/>
      <c r="AD9" s="15">
        <v>400</v>
      </c>
      <c r="AE9" s="1">
        <f t="shared" si="8"/>
      </c>
      <c r="AF9" s="1">
        <f t="shared" si="9"/>
      </c>
      <c r="AG9" s="117" t="s">
        <v>13</v>
      </c>
      <c r="AH9" s="219"/>
      <c r="AI9" s="219"/>
      <c r="AJ9" s="118">
        <f>COUNTIF($Y$7:$Y$116,"男子A")</f>
        <v>0</v>
      </c>
      <c r="AK9" s="13">
        <f>IF(AJ9&gt;0,1,0)</f>
        <v>0</v>
      </c>
      <c r="AM9" s="26"/>
      <c r="AN9" s="26"/>
      <c r="AO9" s="43">
        <f t="shared" si="0"/>
        <v>0</v>
      </c>
      <c r="AP9" s="26"/>
      <c r="AQ9" s="1">
        <f t="shared" si="1"/>
        <v>0</v>
      </c>
      <c r="AR9" s="1">
        <f t="shared" si="2"/>
      </c>
      <c r="AS9" s="1">
        <f t="shared" si="3"/>
      </c>
      <c r="AT9" s="1" t="s">
        <v>79</v>
      </c>
      <c r="AU9" s="3">
        <v>2345086</v>
      </c>
      <c r="AY9" s="197"/>
      <c r="AZ9" s="197"/>
      <c r="BA9" s="197"/>
    </row>
    <row r="10" spans="1:53" ht="14.25">
      <c r="A10" s="99">
        <f t="shared" si="4"/>
        <v>0</v>
      </c>
      <c r="B10" s="97">
        <f t="shared" si="5"/>
        <v>0</v>
      </c>
      <c r="C10" s="129"/>
      <c r="D10" s="79">
        <f>'登録DATA'!E6</f>
        <v>0</v>
      </c>
      <c r="E10" s="180"/>
      <c r="F10" s="160">
        <f>'登録DATA'!G6</f>
        <v>0</v>
      </c>
      <c r="G10" s="160">
        <f>'登録DATA'!H6</f>
        <v>0</v>
      </c>
      <c r="H10" s="156">
        <f t="shared" si="6"/>
        <v>0</v>
      </c>
      <c r="I10" s="161">
        <f>'登録DATA'!J6</f>
        <v>0</v>
      </c>
      <c r="J10" s="155" t="b">
        <f t="shared" si="7"/>
        <v>0</v>
      </c>
      <c r="K10" s="162">
        <f>'登録DATA'!I6</f>
        <v>0</v>
      </c>
      <c r="L10" s="50"/>
      <c r="M10" s="50"/>
      <c r="N10" s="55"/>
      <c r="O10" s="83"/>
      <c r="P10" s="51">
        <f>IF(O10="","",IF(J10=1,VLOOKUP(O10,'男子種目コード'!$A$1:$B$15,2,FALSE),IF(J10=2,VLOOKUP(O10,'女子種目コード'!$A$1:$B$14,2,FALSE))))</f>
      </c>
      <c r="Q10" s="67"/>
      <c r="R10" s="184"/>
      <c r="S10" s="184"/>
      <c r="T10" s="83"/>
      <c r="U10" s="51">
        <f>IF(T10="","",IF(J10=1,VLOOKUP(T10,'男子種目コード'!$A$1:$B$15,2,FALSE),IF(J10=2,VLOOKUP(T10,'女子種目コード'!$A$1:$B$14,2,FALSE))))</f>
      </c>
      <c r="V10" s="73"/>
      <c r="W10" s="184"/>
      <c r="X10" s="184"/>
      <c r="Y10" s="75"/>
      <c r="Z10" s="21">
        <f>IF(Y10="","",IF(J10=1,VLOOKUP(Y10,'男子種目コード'!$A$1:$B$13,2,FALSE),IF(J10=2,VLOOKUP(Y10,'女子種目コード'!$A$1:$B$10,2,FALSE))))</f>
      </c>
      <c r="AA10" s="12"/>
      <c r="AB10" s="188"/>
      <c r="AC10" s="188"/>
      <c r="AD10" s="15">
        <v>800</v>
      </c>
      <c r="AE10" s="1">
        <f t="shared" si="8"/>
      </c>
      <c r="AF10" s="1">
        <f t="shared" si="9"/>
      </c>
      <c r="AG10" s="117" t="s">
        <v>14</v>
      </c>
      <c r="AH10" s="219"/>
      <c r="AI10" s="219"/>
      <c r="AJ10" s="118">
        <f>COUNTIF($Y$7:$Y$116,"男子B")</f>
        <v>0</v>
      </c>
      <c r="AK10" s="13">
        <f aca="true" t="shared" si="10" ref="AK10:AK16">IF(AJ10&gt;0,1,0)</f>
        <v>0</v>
      </c>
      <c r="AM10" s="26"/>
      <c r="AN10" s="26"/>
      <c r="AO10" s="43">
        <f t="shared" si="0"/>
        <v>0</v>
      </c>
      <c r="AP10" s="26"/>
      <c r="AQ10" s="1">
        <f t="shared" si="1"/>
        <v>0</v>
      </c>
      <c r="AR10" s="1">
        <f t="shared" si="2"/>
      </c>
      <c r="AS10" s="1">
        <f t="shared" si="3"/>
      </c>
      <c r="AT10" s="1" t="s">
        <v>80</v>
      </c>
      <c r="AU10" s="3">
        <v>2345087</v>
      </c>
      <c r="AY10" s="197"/>
      <c r="AZ10" s="197"/>
      <c r="BA10" s="197"/>
    </row>
    <row r="11" spans="1:53" ht="14.25">
      <c r="A11" s="99">
        <f t="shared" si="4"/>
        <v>0</v>
      </c>
      <c r="B11" s="97">
        <f t="shared" si="5"/>
        <v>0</v>
      </c>
      <c r="C11" s="129"/>
      <c r="D11" s="79">
        <f>'登録DATA'!E7</f>
        <v>0</v>
      </c>
      <c r="E11" s="180"/>
      <c r="F11" s="160">
        <f>'登録DATA'!G7</f>
        <v>0</v>
      </c>
      <c r="G11" s="160">
        <f>'登録DATA'!H7</f>
        <v>0</v>
      </c>
      <c r="H11" s="156">
        <f t="shared" si="6"/>
        <v>0</v>
      </c>
      <c r="I11" s="161">
        <f>'登録DATA'!J7</f>
        <v>0</v>
      </c>
      <c r="J11" s="155" t="b">
        <f t="shared" si="7"/>
        <v>0</v>
      </c>
      <c r="K11" s="162">
        <f>'登録DATA'!I7</f>
        <v>0</v>
      </c>
      <c r="L11" s="50"/>
      <c r="M11" s="50"/>
      <c r="N11" s="55"/>
      <c r="O11" s="83"/>
      <c r="P11" s="51">
        <f>IF(O11="","",IF(J11=1,VLOOKUP(O11,'男子種目コード'!$A$1:$B$15,2,FALSE),IF(J11=2,VLOOKUP(O11,'女子種目コード'!$A$1:$B$14,2,FALSE))))</f>
      </c>
      <c r="Q11" s="67"/>
      <c r="R11" s="184"/>
      <c r="S11" s="184"/>
      <c r="T11" s="83"/>
      <c r="U11" s="51">
        <f>IF(T11="","",IF(J11=1,VLOOKUP(T11,'男子種目コード'!$A$1:$B$15,2,FALSE),IF(J11=2,VLOOKUP(T11,'女子種目コード'!$A$1:$B$14,2,FALSE))))</f>
      </c>
      <c r="V11" s="73"/>
      <c r="W11" s="184"/>
      <c r="X11" s="184"/>
      <c r="Y11" s="75"/>
      <c r="Z11" s="21">
        <f>IF(Y11="","",IF(J11=1,VLOOKUP(Y11,'男子種目コード'!$A$1:$B$13,2,FALSE),IF(J11=2,VLOOKUP(Y11,'女子種目コード'!$A$1:$B$10,2,FALSE))))</f>
      </c>
      <c r="AA11" s="12"/>
      <c r="AB11" s="188"/>
      <c r="AC11" s="188"/>
      <c r="AD11" s="16" t="s">
        <v>51</v>
      </c>
      <c r="AE11" s="1">
        <f t="shared" si="8"/>
      </c>
      <c r="AF11" s="1">
        <f t="shared" si="9"/>
      </c>
      <c r="AG11" s="117" t="s">
        <v>15</v>
      </c>
      <c r="AH11" s="219"/>
      <c r="AI11" s="219"/>
      <c r="AJ11" s="118">
        <f>COUNTIF($Y$7:$Y$116,"男子C")</f>
        <v>0</v>
      </c>
      <c r="AK11" s="13">
        <f t="shared" si="10"/>
        <v>0</v>
      </c>
      <c r="AM11" s="26"/>
      <c r="AN11" s="26"/>
      <c r="AO11" s="43">
        <f t="shared" si="0"/>
        <v>0</v>
      </c>
      <c r="AP11" s="26"/>
      <c r="AQ11" s="1">
        <f t="shared" si="1"/>
        <v>0</v>
      </c>
      <c r="AR11" s="1">
        <f t="shared" si="2"/>
      </c>
      <c r="AS11" s="1">
        <f t="shared" si="3"/>
      </c>
      <c r="AT11" s="1" t="s">
        <v>81</v>
      </c>
      <c r="AU11" s="3">
        <v>2345088</v>
      </c>
      <c r="AY11" s="197"/>
      <c r="AZ11" s="197"/>
      <c r="BA11" s="197"/>
    </row>
    <row r="12" spans="1:53" ht="14.25">
      <c r="A12" s="99">
        <f t="shared" si="4"/>
        <v>0</v>
      </c>
      <c r="B12" s="97">
        <f t="shared" si="5"/>
        <v>0</v>
      </c>
      <c r="C12" s="129"/>
      <c r="D12" s="79">
        <f>'登録DATA'!E8</f>
        <v>0</v>
      </c>
      <c r="E12" s="180"/>
      <c r="F12" s="160">
        <f>'登録DATA'!G8</f>
        <v>0</v>
      </c>
      <c r="G12" s="160">
        <f>'登録DATA'!H8</f>
        <v>0</v>
      </c>
      <c r="H12" s="156">
        <f t="shared" si="6"/>
        <v>0</v>
      </c>
      <c r="I12" s="161">
        <f>'登録DATA'!J8</f>
        <v>0</v>
      </c>
      <c r="J12" s="155" t="b">
        <f t="shared" si="7"/>
        <v>0</v>
      </c>
      <c r="K12" s="162">
        <f>'登録DATA'!I8</f>
        <v>0</v>
      </c>
      <c r="L12" s="50"/>
      <c r="M12" s="50"/>
      <c r="N12" s="55"/>
      <c r="O12" s="83"/>
      <c r="P12" s="51">
        <f>IF(O12="","",IF(J12=1,VLOOKUP(O12,'男子種目コード'!$A$1:$B$15,2,FALSE),IF(J12=2,VLOOKUP(O12,'女子種目コード'!$A$1:$B$14,2,FALSE))))</f>
      </c>
      <c r="Q12" s="67"/>
      <c r="R12" s="184"/>
      <c r="S12" s="184"/>
      <c r="T12" s="83"/>
      <c r="U12" s="51">
        <f>IF(T12="","",IF(J12=1,VLOOKUP(T12,'男子種目コード'!$A$1:$B$15,2,FALSE),IF(J12=2,VLOOKUP(T12,'女子種目コード'!$A$1:$B$14,2,FALSE))))</f>
      </c>
      <c r="V12" s="73"/>
      <c r="W12" s="184"/>
      <c r="X12" s="184"/>
      <c r="Y12" s="75"/>
      <c r="Z12" s="21">
        <f>IF(Y12="","",IF(J12=1,VLOOKUP(Y12,'男子種目コード'!$A$1:$B$13,2,FALSE),IF(J12=2,VLOOKUP(Y12,'女子種目コード'!$A$1:$B$10,2,FALSE))))</f>
      </c>
      <c r="AA12" s="12"/>
      <c r="AB12" s="188"/>
      <c r="AC12" s="188"/>
      <c r="AD12" s="87" t="s">
        <v>275</v>
      </c>
      <c r="AE12" s="1">
        <f t="shared" si="8"/>
      </c>
      <c r="AF12" s="1">
        <f t="shared" si="9"/>
      </c>
      <c r="AG12" s="222" t="s">
        <v>20</v>
      </c>
      <c r="AH12" s="223"/>
      <c r="AI12" s="223"/>
      <c r="AJ12" s="59"/>
      <c r="AK12" s="13"/>
      <c r="AM12" s="26"/>
      <c r="AN12" s="26"/>
      <c r="AO12" s="43">
        <f t="shared" si="0"/>
        <v>0</v>
      </c>
      <c r="AP12" s="26"/>
      <c r="AQ12" s="1">
        <f t="shared" si="1"/>
        <v>0</v>
      </c>
      <c r="AR12" s="1">
        <f t="shared" si="2"/>
      </c>
      <c r="AS12" s="1">
        <f t="shared" si="3"/>
      </c>
      <c r="AT12" s="1" t="s">
        <v>21</v>
      </c>
      <c r="AU12" s="3">
        <v>2345089</v>
      </c>
      <c r="AY12" s="197"/>
      <c r="AZ12" s="197"/>
      <c r="BA12" s="197"/>
    </row>
    <row r="13" spans="1:53" ht="14.25">
      <c r="A13" s="99">
        <f t="shared" si="4"/>
        <v>0</v>
      </c>
      <c r="B13" s="97">
        <f t="shared" si="5"/>
        <v>0</v>
      </c>
      <c r="C13" s="129"/>
      <c r="D13" s="79">
        <f>'登録DATA'!E9</f>
        <v>0</v>
      </c>
      <c r="E13" s="180"/>
      <c r="F13" s="160">
        <f>'登録DATA'!G9</f>
        <v>0</v>
      </c>
      <c r="G13" s="160">
        <f>'登録DATA'!H9</f>
        <v>0</v>
      </c>
      <c r="H13" s="156">
        <f t="shared" si="6"/>
        <v>0</v>
      </c>
      <c r="I13" s="161">
        <f>'登録DATA'!J9</f>
        <v>0</v>
      </c>
      <c r="J13" s="155" t="b">
        <f t="shared" si="7"/>
        <v>0</v>
      </c>
      <c r="K13" s="162">
        <f>'登録DATA'!I9</f>
        <v>0</v>
      </c>
      <c r="L13" s="50"/>
      <c r="M13" s="50"/>
      <c r="N13" s="55"/>
      <c r="O13" s="83"/>
      <c r="P13" s="51">
        <f>IF(O13="","",IF(J13=1,VLOOKUP(O13,'男子種目コード'!$A$1:$B$15,2,FALSE),IF(J13=2,VLOOKUP(O13,'女子種目コード'!$A$1:$B$14,2,FALSE))))</f>
      </c>
      <c r="Q13" s="67"/>
      <c r="R13" s="184"/>
      <c r="S13" s="184"/>
      <c r="T13" s="83"/>
      <c r="U13" s="51">
        <f>IF(T13="","",IF(J13=1,VLOOKUP(T13,'男子種目コード'!$A$1:$B$15,2,FALSE),IF(J13=2,VLOOKUP(T13,'女子種目コード'!$A$1:$B$14,2,FALSE))))</f>
      </c>
      <c r="V13" s="73"/>
      <c r="W13" s="184"/>
      <c r="X13" s="184"/>
      <c r="Y13" s="75"/>
      <c r="Z13" s="21">
        <f>IF(Y13="","",IF(J13=1,VLOOKUP(Y13,'男子種目コード'!$A$1:$B$13,2,FALSE),IF(J13=2,VLOOKUP(Y13,'女子種目コード'!$A$1:$B$10,2,FALSE))))</f>
      </c>
      <c r="AA13" s="12"/>
      <c r="AB13" s="188"/>
      <c r="AC13" s="188"/>
      <c r="AD13" s="87" t="s">
        <v>45</v>
      </c>
      <c r="AE13" s="1">
        <f t="shared" si="8"/>
      </c>
      <c r="AF13" s="1">
        <f t="shared" si="9"/>
      </c>
      <c r="AG13" s="241" t="s">
        <v>24</v>
      </c>
      <c r="AH13" s="242"/>
      <c r="AI13" s="242"/>
      <c r="AJ13" s="119" t="s">
        <v>26</v>
      </c>
      <c r="AK13" s="13"/>
      <c r="AM13" s="26"/>
      <c r="AN13" s="26"/>
      <c r="AO13" s="43">
        <f t="shared" si="0"/>
        <v>0</v>
      </c>
      <c r="AP13" s="26"/>
      <c r="AQ13" s="1">
        <f t="shared" si="1"/>
        <v>0</v>
      </c>
      <c r="AR13" s="1">
        <f t="shared" si="2"/>
      </c>
      <c r="AS13" s="1">
        <f t="shared" si="3"/>
      </c>
      <c r="AT13" s="1" t="s">
        <v>22</v>
      </c>
      <c r="AU13" s="3">
        <v>2345090</v>
      </c>
      <c r="AY13" s="197"/>
      <c r="AZ13" s="197"/>
      <c r="BA13" s="197"/>
    </row>
    <row r="14" spans="1:53" ht="14.25">
      <c r="A14" s="99">
        <f t="shared" si="4"/>
        <v>0</v>
      </c>
      <c r="B14" s="97">
        <f t="shared" si="5"/>
        <v>0</v>
      </c>
      <c r="C14" s="129"/>
      <c r="D14" s="79">
        <f>'登録DATA'!E10</f>
        <v>0</v>
      </c>
      <c r="E14" s="180"/>
      <c r="F14" s="160">
        <f>'登録DATA'!G10</f>
        <v>0</v>
      </c>
      <c r="G14" s="160">
        <f>'登録DATA'!H10</f>
        <v>0</v>
      </c>
      <c r="H14" s="156">
        <f t="shared" si="6"/>
        <v>0</v>
      </c>
      <c r="I14" s="161">
        <f>'登録DATA'!J10</f>
        <v>0</v>
      </c>
      <c r="J14" s="155" t="b">
        <f t="shared" si="7"/>
        <v>0</v>
      </c>
      <c r="K14" s="162">
        <f>'登録DATA'!I10</f>
        <v>0</v>
      </c>
      <c r="L14" s="50"/>
      <c r="M14" s="50"/>
      <c r="N14" s="55"/>
      <c r="O14" s="83"/>
      <c r="P14" s="51">
        <f>IF(O14="","",IF(J14=1,VLOOKUP(O14,'男子種目コード'!$A$1:$B$15,2,FALSE),IF(J14=2,VLOOKUP(O14,'女子種目コード'!$A$1:$B$14,2,FALSE))))</f>
      </c>
      <c r="Q14" s="67"/>
      <c r="R14" s="184"/>
      <c r="S14" s="184"/>
      <c r="T14" s="83"/>
      <c r="U14" s="51">
        <f>IF(T14="","",IF(J14=1,VLOOKUP(T14,'男子種目コード'!$A$1:$B$15,2,FALSE),IF(J14=2,VLOOKUP(T14,'女子種目コード'!$A$1:$B$14,2,FALSE))))</f>
      </c>
      <c r="V14" s="73"/>
      <c r="W14" s="184"/>
      <c r="X14" s="184"/>
      <c r="Y14" s="75"/>
      <c r="Z14" s="21">
        <f>IF(Y14="","",IF(J14=1,VLOOKUP(Y14,'男子種目コード'!$A$1:$B$13,2,FALSE),IF(J14=2,VLOOKUP(Y14,'女子種目コード'!$A$1:$B$10,2,FALSE))))</f>
      </c>
      <c r="AA14" s="12"/>
      <c r="AB14" s="188"/>
      <c r="AC14" s="188"/>
      <c r="AD14" s="3" t="s">
        <v>47</v>
      </c>
      <c r="AE14" s="1">
        <f t="shared" si="8"/>
      </c>
      <c r="AF14" s="1">
        <f t="shared" si="9"/>
      </c>
      <c r="AG14" s="117" t="s">
        <v>13</v>
      </c>
      <c r="AH14" s="219"/>
      <c r="AI14" s="219"/>
      <c r="AJ14" s="118">
        <f>COUNTIF($Y$7:$Y$116,"女子A")</f>
        <v>0</v>
      </c>
      <c r="AK14" s="13">
        <f t="shared" si="10"/>
        <v>0</v>
      </c>
      <c r="AM14" s="26"/>
      <c r="AN14" s="26"/>
      <c r="AO14" s="43">
        <f t="shared" si="0"/>
        <v>0</v>
      </c>
      <c r="AP14" s="26"/>
      <c r="AQ14" s="1">
        <f t="shared" si="1"/>
        <v>0</v>
      </c>
      <c r="AR14" s="1">
        <f t="shared" si="2"/>
      </c>
      <c r="AS14" s="1">
        <f t="shared" si="3"/>
      </c>
      <c r="AT14" s="1" t="s">
        <v>82</v>
      </c>
      <c r="AU14" s="3">
        <v>2345091</v>
      </c>
      <c r="AY14" s="197"/>
      <c r="AZ14" s="197"/>
      <c r="BA14" s="197"/>
    </row>
    <row r="15" spans="1:53" ht="14.25">
      <c r="A15" s="99">
        <f t="shared" si="4"/>
        <v>0</v>
      </c>
      <c r="B15" s="97">
        <f t="shared" si="5"/>
        <v>0</v>
      </c>
      <c r="C15" s="129"/>
      <c r="D15" s="79">
        <f>'登録DATA'!E11</f>
        <v>0</v>
      </c>
      <c r="E15" s="180"/>
      <c r="F15" s="160">
        <f>'登録DATA'!G11</f>
        <v>0</v>
      </c>
      <c r="G15" s="160">
        <f>'登録DATA'!H11</f>
        <v>0</v>
      </c>
      <c r="H15" s="156">
        <f t="shared" si="6"/>
        <v>0</v>
      </c>
      <c r="I15" s="161">
        <f>'登録DATA'!J11</f>
        <v>0</v>
      </c>
      <c r="J15" s="155" t="b">
        <f t="shared" si="7"/>
        <v>0</v>
      </c>
      <c r="K15" s="162">
        <f>'登録DATA'!I11</f>
        <v>0</v>
      </c>
      <c r="L15" s="50"/>
      <c r="M15" s="50"/>
      <c r="N15" s="55"/>
      <c r="O15" s="83"/>
      <c r="P15" s="51">
        <f>IF(O15="","",IF(J15=1,VLOOKUP(O15,'男子種目コード'!$A$1:$B$15,2,FALSE),IF(J15=2,VLOOKUP(O15,'女子種目コード'!$A$1:$B$14,2,FALSE))))</f>
      </c>
      <c r="Q15" s="67"/>
      <c r="R15" s="184"/>
      <c r="S15" s="184"/>
      <c r="T15" s="83"/>
      <c r="U15" s="51">
        <f>IF(T15="","",IF(J15=1,VLOOKUP(T15,'男子種目コード'!$A$1:$B$15,2,FALSE),IF(J15=2,VLOOKUP(T15,'女子種目コード'!$A$1:$B$14,2,FALSE))))</f>
      </c>
      <c r="V15" s="73"/>
      <c r="W15" s="184"/>
      <c r="X15" s="184"/>
      <c r="Y15" s="75"/>
      <c r="Z15" s="21">
        <f>IF(Y15="","",IF(J15=1,VLOOKUP(Y15,'男子種目コード'!$A$1:$B$13,2,FALSE),IF(J15=2,VLOOKUP(Y15,'女子種目コード'!$A$1:$B$10,2,FALSE))))</f>
      </c>
      <c r="AA15" s="12"/>
      <c r="AB15" s="188"/>
      <c r="AC15" s="188"/>
      <c r="AD15" s="3" t="s">
        <v>252</v>
      </c>
      <c r="AE15" s="1">
        <f t="shared" si="8"/>
      </c>
      <c r="AF15" s="1">
        <f t="shared" si="9"/>
      </c>
      <c r="AG15" s="117" t="s">
        <v>14</v>
      </c>
      <c r="AH15" s="219"/>
      <c r="AI15" s="219"/>
      <c r="AJ15" s="118">
        <f>COUNTIF($Y$7:$Y$116,"女子B")</f>
        <v>0</v>
      </c>
      <c r="AK15" s="13">
        <f t="shared" si="10"/>
        <v>0</v>
      </c>
      <c r="AM15" s="26"/>
      <c r="AN15" s="26"/>
      <c r="AO15" s="43">
        <f t="shared" si="0"/>
        <v>0</v>
      </c>
      <c r="AP15" s="26"/>
      <c r="AQ15" s="1">
        <f t="shared" si="1"/>
        <v>0</v>
      </c>
      <c r="AR15" s="1">
        <f t="shared" si="2"/>
      </c>
      <c r="AS15" s="1">
        <f t="shared" si="3"/>
      </c>
      <c r="AT15" s="1" t="s">
        <v>23</v>
      </c>
      <c r="AU15" s="3">
        <v>2345092</v>
      </c>
      <c r="AY15" s="197"/>
      <c r="AZ15" s="197"/>
      <c r="BA15" s="197"/>
    </row>
    <row r="16" spans="1:53" ht="15" thickBot="1">
      <c r="A16" s="99">
        <f t="shared" si="4"/>
        <v>0</v>
      </c>
      <c r="B16" s="97">
        <f t="shared" si="5"/>
        <v>0</v>
      </c>
      <c r="C16" s="129"/>
      <c r="D16" s="79">
        <f>'登録DATA'!E12</f>
        <v>0</v>
      </c>
      <c r="E16" s="180"/>
      <c r="F16" s="160">
        <f>'登録DATA'!G12</f>
        <v>0</v>
      </c>
      <c r="G16" s="160">
        <f>'登録DATA'!H12</f>
        <v>0</v>
      </c>
      <c r="H16" s="156">
        <f t="shared" si="6"/>
        <v>0</v>
      </c>
      <c r="I16" s="161">
        <f>'登録DATA'!J12</f>
        <v>0</v>
      </c>
      <c r="J16" s="155" t="b">
        <f t="shared" si="7"/>
        <v>0</v>
      </c>
      <c r="K16" s="162">
        <f>'登録DATA'!I12</f>
        <v>0</v>
      </c>
      <c r="L16" s="50"/>
      <c r="M16" s="50"/>
      <c r="N16" s="55"/>
      <c r="O16" s="83"/>
      <c r="P16" s="51">
        <f>IF(O16="","",IF(J16=1,VLOOKUP(O16,'男子種目コード'!$A$1:$B$15,2,FALSE),IF(J16=2,VLOOKUP(O16,'女子種目コード'!$A$1:$B$14,2,FALSE))))</f>
      </c>
      <c r="Q16" s="67"/>
      <c r="R16" s="184"/>
      <c r="S16" s="184"/>
      <c r="T16" s="83"/>
      <c r="U16" s="51">
        <f>IF(T16="","",IF(J16=1,VLOOKUP(T16,'男子種目コード'!$A$1:$B$15,2,FALSE),IF(J16=2,VLOOKUP(T16,'女子種目コード'!$A$1:$B$14,2,FALSE))))</f>
      </c>
      <c r="V16" s="73"/>
      <c r="W16" s="184"/>
      <c r="X16" s="184"/>
      <c r="Y16" s="75"/>
      <c r="Z16" s="21">
        <f>IF(Y16="","",IF(J16=1,VLOOKUP(Y16,'男子種目コード'!$A$1:$B$13,2,FALSE),IF(J16=2,VLOOKUP(Y16,'女子種目コード'!$A$1:$B$10,2,FALSE))))</f>
      </c>
      <c r="AA16" s="12"/>
      <c r="AB16" s="188"/>
      <c r="AC16" s="188"/>
      <c r="AD16" s="3" t="s">
        <v>56</v>
      </c>
      <c r="AE16" s="1">
        <f t="shared" si="8"/>
      </c>
      <c r="AF16" s="1">
        <f t="shared" si="9"/>
      </c>
      <c r="AG16" s="120" t="s">
        <v>15</v>
      </c>
      <c r="AH16" s="230"/>
      <c r="AI16" s="230"/>
      <c r="AJ16" s="121">
        <f>COUNTIF($Y$7:$Y$116,"女子C")</f>
        <v>0</v>
      </c>
      <c r="AK16" s="13">
        <f t="shared" si="10"/>
        <v>0</v>
      </c>
      <c r="AL16" s="1">
        <f>SUM(AK14:AK16)</f>
        <v>0</v>
      </c>
      <c r="AM16" s="26"/>
      <c r="AN16" s="26"/>
      <c r="AO16" s="43">
        <f t="shared" si="0"/>
        <v>0</v>
      </c>
      <c r="AP16" s="26"/>
      <c r="AQ16" s="1">
        <f t="shared" si="1"/>
        <v>0</v>
      </c>
      <c r="AR16" s="1">
        <f t="shared" si="2"/>
      </c>
      <c r="AS16" s="1">
        <f t="shared" si="3"/>
      </c>
      <c r="AT16" s="1" t="s">
        <v>83</v>
      </c>
      <c r="AU16" s="3">
        <v>2345093</v>
      </c>
      <c r="AY16" s="197"/>
      <c r="AZ16" s="197"/>
      <c r="BA16" s="197"/>
    </row>
    <row r="17" spans="1:53" ht="14.25">
      <c r="A17" s="99">
        <f t="shared" si="4"/>
        <v>0</v>
      </c>
      <c r="B17" s="97">
        <f t="shared" si="5"/>
        <v>0</v>
      </c>
      <c r="C17" s="129"/>
      <c r="D17" s="79">
        <f>'登録DATA'!E13</f>
        <v>0</v>
      </c>
      <c r="E17" s="180"/>
      <c r="F17" s="160">
        <f>'登録DATA'!G13</f>
        <v>0</v>
      </c>
      <c r="G17" s="160">
        <f>'登録DATA'!H13</f>
        <v>0</v>
      </c>
      <c r="H17" s="156">
        <f t="shared" si="6"/>
        <v>0</v>
      </c>
      <c r="I17" s="161">
        <f>'登録DATA'!J13</f>
        <v>0</v>
      </c>
      <c r="J17" s="155" t="b">
        <f t="shared" si="7"/>
        <v>0</v>
      </c>
      <c r="K17" s="162">
        <f>'登録DATA'!I13</f>
        <v>0</v>
      </c>
      <c r="L17" s="50"/>
      <c r="M17" s="50"/>
      <c r="N17" s="55"/>
      <c r="O17" s="83"/>
      <c r="P17" s="51">
        <f>IF(O17="","",IF(J17=1,VLOOKUP(O17,'男子種目コード'!$A$1:$B$15,2,FALSE),IF(J17=2,VLOOKUP(O17,'女子種目コード'!$A$1:$B$14,2,FALSE))))</f>
      </c>
      <c r="Q17" s="67"/>
      <c r="R17" s="184"/>
      <c r="S17" s="184"/>
      <c r="T17" s="83"/>
      <c r="U17" s="51">
        <f>IF(T17="","",IF(J17=1,VLOOKUP(T17,'男子種目コード'!$A$1:$B$15,2,FALSE),IF(J17=2,VLOOKUP(T17,'女子種目コード'!$A$1:$B$14,2,FALSE))))</f>
      </c>
      <c r="V17" s="73"/>
      <c r="W17" s="184"/>
      <c r="X17" s="184"/>
      <c r="Y17" s="75"/>
      <c r="Z17" s="21">
        <f>IF(Y17="","",IF(J17=1,VLOOKUP(Y17,'男子種目コード'!$A$1:$B$13,2,FALSE),IF(J17=2,VLOOKUP(Y17,'女子種目コード'!$A$1:$B$10,2,FALSE))))</f>
      </c>
      <c r="AA17" s="12"/>
      <c r="AB17" s="188"/>
      <c r="AC17" s="188"/>
      <c r="AD17" s="3" t="s">
        <v>277</v>
      </c>
      <c r="AE17" s="1">
        <f t="shared" si="8"/>
      </c>
      <c r="AF17" s="1">
        <f t="shared" si="9"/>
      </c>
      <c r="AG17" s="245" t="s">
        <v>34</v>
      </c>
      <c r="AH17" s="246"/>
      <c r="AI17" s="26"/>
      <c r="AJ17" s="26"/>
      <c r="AK17" s="26">
        <f>SUM(AK9:AK16)</f>
        <v>0</v>
      </c>
      <c r="AL17" s="26"/>
      <c r="AM17" s="26"/>
      <c r="AN17" s="26"/>
      <c r="AO17" s="43">
        <f t="shared" si="0"/>
        <v>0</v>
      </c>
      <c r="AP17" s="26"/>
      <c r="AQ17" s="1">
        <f t="shared" si="1"/>
        <v>0</v>
      </c>
      <c r="AR17" s="1">
        <f t="shared" si="2"/>
      </c>
      <c r="AS17" s="1">
        <f t="shared" si="3"/>
      </c>
      <c r="AT17" s="1" t="s">
        <v>84</v>
      </c>
      <c r="AU17" s="3">
        <v>2345094</v>
      </c>
      <c r="AY17" s="197"/>
      <c r="AZ17" s="197"/>
      <c r="BA17" s="197"/>
    </row>
    <row r="18" spans="1:53" ht="14.25">
      <c r="A18" s="99">
        <f t="shared" si="4"/>
        <v>0</v>
      </c>
      <c r="B18" s="97">
        <f t="shared" si="5"/>
        <v>0</v>
      </c>
      <c r="C18" s="129"/>
      <c r="D18" s="79">
        <f>'登録DATA'!E14</f>
        <v>0</v>
      </c>
      <c r="E18" s="180"/>
      <c r="F18" s="160">
        <f>'登録DATA'!G14</f>
        <v>0</v>
      </c>
      <c r="G18" s="160">
        <f>'登録DATA'!H14</f>
        <v>0</v>
      </c>
      <c r="H18" s="156">
        <f t="shared" si="6"/>
        <v>0</v>
      </c>
      <c r="I18" s="161">
        <f>'登録DATA'!J14</f>
        <v>0</v>
      </c>
      <c r="J18" s="155" t="b">
        <f t="shared" si="7"/>
        <v>0</v>
      </c>
      <c r="K18" s="162">
        <f>'登録DATA'!I14</f>
        <v>0</v>
      </c>
      <c r="L18" s="50"/>
      <c r="M18" s="50"/>
      <c r="N18" s="55"/>
      <c r="O18" s="83"/>
      <c r="P18" s="51">
        <f>IF(O18="","",IF(J18=1,VLOOKUP(O18,'男子種目コード'!$A$1:$B$15,2,FALSE),IF(J18=2,VLOOKUP(O18,'女子種目コード'!$A$1:$B$14,2,FALSE))))</f>
      </c>
      <c r="Q18" s="67"/>
      <c r="R18" s="184"/>
      <c r="S18" s="184"/>
      <c r="T18" s="83"/>
      <c r="U18" s="51">
        <f>IF(T18="","",IF(J18=1,VLOOKUP(T18,'男子種目コード'!$A$1:$B$15,2,FALSE),IF(J18=2,VLOOKUP(T18,'女子種目コード'!$A$1:$B$14,2,FALSE))))</f>
      </c>
      <c r="V18" s="73"/>
      <c r="W18" s="184"/>
      <c r="X18" s="184"/>
      <c r="Y18" s="75"/>
      <c r="Z18" s="21">
        <f>IF(Y18="","",IF(J18=1,VLOOKUP(Y18,'男子種目コード'!$A$1:$B$13,2,FALSE),IF(J18=2,VLOOKUP(Y18,'女子種目コード'!$A$1:$B$10,2,FALSE))))</f>
      </c>
      <c r="AA18" s="12"/>
      <c r="AB18" s="188"/>
      <c r="AC18" s="188"/>
      <c r="AD18" s="3" t="s">
        <v>10</v>
      </c>
      <c r="AE18" s="1">
        <f t="shared" si="8"/>
      </c>
      <c r="AF18" s="1">
        <f t="shared" si="9"/>
      </c>
      <c r="AG18" s="247" t="s">
        <v>19</v>
      </c>
      <c r="AH18" s="248"/>
      <c r="AI18" s="26"/>
      <c r="AJ18" s="26"/>
      <c r="AK18" s="26"/>
      <c r="AL18" s="26"/>
      <c r="AM18" s="26"/>
      <c r="AN18" s="26"/>
      <c r="AO18" s="43">
        <f t="shared" si="0"/>
        <v>0</v>
      </c>
      <c r="AP18" s="26"/>
      <c r="AQ18" s="1">
        <f t="shared" si="1"/>
        <v>0</v>
      </c>
      <c r="AR18" s="1">
        <f t="shared" si="2"/>
      </c>
      <c r="AS18" s="1">
        <f t="shared" si="3"/>
      </c>
      <c r="AT18" s="1" t="s">
        <v>8</v>
      </c>
      <c r="AU18" s="3">
        <v>2345095</v>
      </c>
      <c r="AY18" s="197"/>
      <c r="AZ18" s="197"/>
      <c r="BA18" s="197"/>
    </row>
    <row r="19" spans="1:53" ht="14.25">
      <c r="A19" s="99">
        <f t="shared" si="4"/>
        <v>0</v>
      </c>
      <c r="B19" s="97">
        <f t="shared" si="5"/>
        <v>0</v>
      </c>
      <c r="C19" s="129"/>
      <c r="D19" s="79">
        <f>'登録DATA'!E15</f>
        <v>0</v>
      </c>
      <c r="E19" s="180"/>
      <c r="F19" s="160">
        <f>'登録DATA'!G15</f>
        <v>0</v>
      </c>
      <c r="G19" s="160">
        <f>'登録DATA'!H15</f>
        <v>0</v>
      </c>
      <c r="H19" s="156">
        <f t="shared" si="6"/>
        <v>0</v>
      </c>
      <c r="I19" s="161">
        <f>'登録DATA'!J15</f>
        <v>0</v>
      </c>
      <c r="J19" s="155" t="b">
        <f t="shared" si="7"/>
        <v>0</v>
      </c>
      <c r="K19" s="162">
        <f>'登録DATA'!I15</f>
        <v>0</v>
      </c>
      <c r="L19" s="50"/>
      <c r="M19" s="50"/>
      <c r="N19" s="55"/>
      <c r="O19" s="83"/>
      <c r="P19" s="51">
        <f>IF(O19="","",IF(J19=1,VLOOKUP(O19,'男子種目コード'!$A$1:$B$15,2,FALSE),IF(J19=2,VLOOKUP(O19,'女子種目コード'!$A$1:$B$14,2,FALSE))))</f>
      </c>
      <c r="Q19" s="67"/>
      <c r="R19" s="184"/>
      <c r="S19" s="184"/>
      <c r="T19" s="83"/>
      <c r="U19" s="51">
        <f>IF(T19="","",IF(J19=1,VLOOKUP(T19,'男子種目コード'!$A$1:$B$15,2,FALSE),IF(J19=2,VLOOKUP(T19,'女子種目コード'!$A$1:$B$14,2,FALSE))))</f>
      </c>
      <c r="V19" s="73"/>
      <c r="W19" s="184"/>
      <c r="X19" s="184"/>
      <c r="Y19" s="75"/>
      <c r="Z19" s="21">
        <f>IF(Y19="","",IF(J19=1,VLOOKUP(Y19,'男子種目コード'!$A$1:$B$13,2,FALSE),IF(J19=2,VLOOKUP(Y19,'女子種目コード'!$A$1:$B$10,2,FALSE))))</f>
      </c>
      <c r="AA19" s="12"/>
      <c r="AB19" s="188"/>
      <c r="AC19" s="188"/>
      <c r="AD19" s="16" t="s">
        <v>27</v>
      </c>
      <c r="AE19" s="1">
        <f t="shared" si="8"/>
      </c>
      <c r="AF19" s="1">
        <f t="shared" si="9"/>
      </c>
      <c r="AG19" s="61">
        <v>100</v>
      </c>
      <c r="AH19" s="62">
        <f>COUNTIF($P$7:$P$116,50)+COUNTIF($U$7:$U$116,50)</f>
        <v>0</v>
      </c>
      <c r="AI19" s="233"/>
      <c r="AJ19" s="234"/>
      <c r="AK19" s="234"/>
      <c r="AL19" s="234"/>
      <c r="AM19" s="234"/>
      <c r="AN19" s="26"/>
      <c r="AO19" s="43">
        <f t="shared" si="0"/>
        <v>0</v>
      </c>
      <c r="AP19" s="26"/>
      <c r="AQ19" s="1">
        <f t="shared" si="1"/>
        <v>0</v>
      </c>
      <c r="AR19" s="1">
        <f t="shared" si="2"/>
      </c>
      <c r="AS19" s="1">
        <f t="shared" si="3"/>
      </c>
      <c r="AT19" s="1" t="s">
        <v>9</v>
      </c>
      <c r="AU19" s="3">
        <v>2345096</v>
      </c>
      <c r="AY19" s="197"/>
      <c r="AZ19" s="197"/>
      <c r="BA19" s="197"/>
    </row>
    <row r="20" spans="1:53" ht="14.25">
      <c r="A20" s="99">
        <f t="shared" si="4"/>
        <v>0</v>
      </c>
      <c r="B20" s="97">
        <f t="shared" si="5"/>
        <v>0</v>
      </c>
      <c r="C20" s="129"/>
      <c r="D20" s="79">
        <f>'登録DATA'!E16</f>
        <v>0</v>
      </c>
      <c r="E20" s="180"/>
      <c r="F20" s="160">
        <f>'登録DATA'!G16</f>
        <v>0</v>
      </c>
      <c r="G20" s="160">
        <f>'登録DATA'!H16</f>
        <v>0</v>
      </c>
      <c r="H20" s="156">
        <f t="shared" si="6"/>
        <v>0</v>
      </c>
      <c r="I20" s="161">
        <f>'登録DATA'!J16</f>
        <v>0</v>
      </c>
      <c r="J20" s="155" t="b">
        <f t="shared" si="7"/>
        <v>0</v>
      </c>
      <c r="K20" s="162">
        <f>'登録DATA'!I16</f>
        <v>0</v>
      </c>
      <c r="L20" s="50"/>
      <c r="M20" s="50"/>
      <c r="N20" s="55"/>
      <c r="O20" s="83"/>
      <c r="P20" s="51">
        <f>IF(O20="","",IF(J20=1,VLOOKUP(O20,'男子種目コード'!$A$1:$B$15,2,FALSE),IF(J20=2,VLOOKUP(O20,'女子種目コード'!$A$1:$B$14,2,FALSE))))</f>
      </c>
      <c r="Q20" s="67"/>
      <c r="R20" s="184"/>
      <c r="S20" s="184"/>
      <c r="T20" s="83"/>
      <c r="U20" s="51">
        <f>IF(T20="","",IF(J20=1,VLOOKUP(T20,'男子種目コード'!$A$1:$B$15,2,FALSE),IF(J20=2,VLOOKUP(T20,'女子種目コード'!$A$1:$B$14,2,FALSE))))</f>
      </c>
      <c r="V20" s="73"/>
      <c r="W20" s="184"/>
      <c r="X20" s="184"/>
      <c r="Y20" s="75"/>
      <c r="Z20" s="21">
        <f>IF(Y20="","",IF(J20=1,VLOOKUP(Y20,'男子種目コード'!$A$1:$B$13,2,FALSE),IF(J20=2,VLOOKUP(Y20,'女子種目コード'!$A$1:$B$10,2,FALSE))))</f>
      </c>
      <c r="AA20" s="12"/>
      <c r="AB20" s="188"/>
      <c r="AC20" s="188"/>
      <c r="AD20" s="16" t="s">
        <v>28</v>
      </c>
      <c r="AE20" s="1">
        <f t="shared" si="8"/>
      </c>
      <c r="AF20" s="1">
        <f t="shared" si="9"/>
      </c>
      <c r="AG20" s="61">
        <v>200</v>
      </c>
      <c r="AH20" s="62">
        <f>COUNTIF($P$7:$P$116,51)+COUNTIF($U$7:$U$116,51)</f>
        <v>0</v>
      </c>
      <c r="AI20" s="226"/>
      <c r="AJ20" s="227"/>
      <c r="AK20" s="227"/>
      <c r="AL20" s="227"/>
      <c r="AM20" s="227"/>
      <c r="AN20" s="26"/>
      <c r="AO20" s="43">
        <f t="shared" si="0"/>
        <v>0</v>
      </c>
      <c r="AP20" s="26"/>
      <c r="AQ20" s="1">
        <f t="shared" si="1"/>
        <v>0</v>
      </c>
      <c r="AR20" s="1">
        <f t="shared" si="2"/>
      </c>
      <c r="AS20" s="1">
        <f t="shared" si="3"/>
      </c>
      <c r="AT20" s="1" t="s">
        <v>85</v>
      </c>
      <c r="AU20" s="3">
        <v>2345097</v>
      </c>
      <c r="AY20" s="197"/>
      <c r="AZ20" s="197"/>
      <c r="BA20" s="197"/>
    </row>
    <row r="21" spans="1:53" ht="14.25">
      <c r="A21" s="99">
        <f t="shared" si="4"/>
        <v>0</v>
      </c>
      <c r="B21" s="97">
        <f t="shared" si="5"/>
        <v>0</v>
      </c>
      <c r="C21" s="129"/>
      <c r="D21" s="79">
        <f>'登録DATA'!E17</f>
        <v>0</v>
      </c>
      <c r="E21" s="180"/>
      <c r="F21" s="160">
        <f>'登録DATA'!G17</f>
        <v>0</v>
      </c>
      <c r="G21" s="160">
        <f>'登録DATA'!H17</f>
        <v>0</v>
      </c>
      <c r="H21" s="156">
        <f t="shared" si="6"/>
        <v>0</v>
      </c>
      <c r="I21" s="161">
        <f>'登録DATA'!J17</f>
        <v>0</v>
      </c>
      <c r="J21" s="155" t="b">
        <f t="shared" si="7"/>
        <v>0</v>
      </c>
      <c r="K21" s="162">
        <f>'登録DATA'!I17</f>
        <v>0</v>
      </c>
      <c r="L21" s="50"/>
      <c r="M21" s="50"/>
      <c r="N21" s="55"/>
      <c r="O21" s="83"/>
      <c r="P21" s="51">
        <f>IF(O21="","",IF(J21=1,VLOOKUP(O21,'男子種目コード'!$A$1:$B$15,2,FALSE),IF(J21=2,VLOOKUP(O21,'女子種目コード'!$A$1:$B$14,2,FALSE))))</f>
      </c>
      <c r="Q21" s="67"/>
      <c r="R21" s="184"/>
      <c r="S21" s="184"/>
      <c r="T21" s="83"/>
      <c r="U21" s="51">
        <f>IF(T21="","",IF(J21=1,VLOOKUP(T21,'男子種目コード'!$A$1:$B$15,2,FALSE),IF(J21=2,VLOOKUP(T21,'女子種目コード'!$A$1:$B$14,2,FALSE))))</f>
      </c>
      <c r="V21" s="73"/>
      <c r="W21" s="184"/>
      <c r="X21" s="184"/>
      <c r="Y21" s="75"/>
      <c r="Z21" s="21">
        <f>IF(Y21="","",IF(J21=1,VLOOKUP(Y21,'男子種目コード'!$A$1:$B$13,2,FALSE),IF(J21=2,VLOOKUP(Y21,'女子種目コード'!$A$1:$B$10,2,FALSE))))</f>
      </c>
      <c r="AA21" s="12"/>
      <c r="AB21" s="188"/>
      <c r="AC21" s="188"/>
      <c r="AD21" s="16" t="s">
        <v>29</v>
      </c>
      <c r="AE21" s="1">
        <f t="shared" si="8"/>
      </c>
      <c r="AF21" s="1">
        <f t="shared" si="9"/>
      </c>
      <c r="AG21" s="61">
        <v>400</v>
      </c>
      <c r="AH21" s="62">
        <f>COUNTIF($P$7:$P$116,52)+COUNTIF($U$7:$U$116,52)</f>
        <v>0</v>
      </c>
      <c r="AI21" s="226"/>
      <c r="AJ21" s="227"/>
      <c r="AK21" s="227"/>
      <c r="AL21" s="227"/>
      <c r="AM21" s="227"/>
      <c r="AN21" s="26"/>
      <c r="AO21" s="43">
        <f t="shared" si="0"/>
        <v>0</v>
      </c>
      <c r="AP21" s="26"/>
      <c r="AQ21" s="1">
        <f t="shared" si="1"/>
        <v>0</v>
      </c>
      <c r="AR21" s="1">
        <f t="shared" si="2"/>
      </c>
      <c r="AS21" s="1">
        <f t="shared" si="3"/>
      </c>
      <c r="AT21" s="1" t="s">
        <v>86</v>
      </c>
      <c r="AU21" s="3">
        <v>2345098</v>
      </c>
      <c r="AY21" s="197"/>
      <c r="AZ21" s="197"/>
      <c r="BA21" s="197"/>
    </row>
    <row r="22" spans="1:53" ht="14.25">
      <c r="A22" s="99">
        <f t="shared" si="4"/>
        <v>0</v>
      </c>
      <c r="B22" s="97">
        <f t="shared" si="5"/>
        <v>0</v>
      </c>
      <c r="C22" s="129"/>
      <c r="D22" s="79">
        <f>'登録DATA'!E18</f>
        <v>0</v>
      </c>
      <c r="E22" s="180"/>
      <c r="F22" s="160">
        <f>'登録DATA'!G18</f>
        <v>0</v>
      </c>
      <c r="G22" s="160">
        <f>'登録DATA'!H18</f>
        <v>0</v>
      </c>
      <c r="H22" s="156">
        <f t="shared" si="6"/>
        <v>0</v>
      </c>
      <c r="I22" s="161">
        <f>'登録DATA'!J18</f>
        <v>0</v>
      </c>
      <c r="J22" s="155" t="b">
        <f t="shared" si="7"/>
        <v>0</v>
      </c>
      <c r="K22" s="162">
        <f>'登録DATA'!I18</f>
        <v>0</v>
      </c>
      <c r="L22" s="50"/>
      <c r="M22" s="50"/>
      <c r="N22" s="55"/>
      <c r="O22" s="83"/>
      <c r="P22" s="51">
        <f>IF(O22="","",IF(J22=1,VLOOKUP(O22,'男子種目コード'!$A$1:$B$15,2,FALSE),IF(J22=2,VLOOKUP(O22,'女子種目コード'!$A$1:$B$14,2,FALSE))))</f>
      </c>
      <c r="Q22" s="67"/>
      <c r="R22" s="184"/>
      <c r="S22" s="184"/>
      <c r="T22" s="83"/>
      <c r="U22" s="51">
        <f>IF(T22="","",IF(J22=1,VLOOKUP(T22,'男子種目コード'!$A$1:$B$15,2,FALSE),IF(J22=2,VLOOKUP(T22,'女子種目コード'!$A$1:$B$14,2,FALSE))))</f>
      </c>
      <c r="V22" s="73"/>
      <c r="W22" s="184"/>
      <c r="X22" s="184"/>
      <c r="Y22" s="75"/>
      <c r="Z22" s="21">
        <f>IF(Y22="","",IF(J22=1,VLOOKUP(Y22,'男子種目コード'!$A$1:$B$13,2,FALSE),IF(J22=2,VLOOKUP(Y22,'女子種目コード'!$A$1:$B$10,2,FALSE))))</f>
      </c>
      <c r="AA22" s="12"/>
      <c r="AB22" s="188"/>
      <c r="AC22" s="188"/>
      <c r="AD22" s="15">
        <v>100</v>
      </c>
      <c r="AE22" s="1">
        <f t="shared" si="8"/>
      </c>
      <c r="AF22" s="1">
        <f t="shared" si="9"/>
      </c>
      <c r="AG22" s="61">
        <v>800</v>
      </c>
      <c r="AH22" s="62">
        <f>COUNTIF($P$7:$P$116,53)+COUNTIF($U$7:$U$116,53)</f>
        <v>0</v>
      </c>
      <c r="AI22" s="224"/>
      <c r="AJ22" s="225"/>
      <c r="AK22" s="225"/>
      <c r="AL22" s="225"/>
      <c r="AM22" s="225"/>
      <c r="AN22" s="26"/>
      <c r="AO22" s="43">
        <f t="shared" si="0"/>
        <v>0</v>
      </c>
      <c r="AP22" s="26"/>
      <c r="AQ22" s="1">
        <f t="shared" si="1"/>
        <v>0</v>
      </c>
      <c r="AR22" s="1">
        <f t="shared" si="2"/>
      </c>
      <c r="AS22" s="1">
        <f t="shared" si="3"/>
      </c>
      <c r="AT22" s="1" t="s">
        <v>87</v>
      </c>
      <c r="AU22" s="3">
        <v>2345099</v>
      </c>
      <c r="AY22" s="197"/>
      <c r="AZ22" s="197"/>
      <c r="BA22" s="197"/>
    </row>
    <row r="23" spans="1:53" ht="14.25">
      <c r="A23" s="99">
        <f t="shared" si="4"/>
        <v>0</v>
      </c>
      <c r="B23" s="97">
        <f t="shared" si="5"/>
        <v>0</v>
      </c>
      <c r="C23" s="129"/>
      <c r="D23" s="79">
        <f>'登録DATA'!E19</f>
        <v>0</v>
      </c>
      <c r="E23" s="180"/>
      <c r="F23" s="160">
        <f>'登録DATA'!G19</f>
        <v>0</v>
      </c>
      <c r="G23" s="160">
        <f>'登録DATA'!H19</f>
        <v>0</v>
      </c>
      <c r="H23" s="156">
        <f t="shared" si="6"/>
        <v>0</v>
      </c>
      <c r="I23" s="161">
        <f>'登録DATA'!J19</f>
        <v>0</v>
      </c>
      <c r="J23" s="155" t="b">
        <f t="shared" si="7"/>
        <v>0</v>
      </c>
      <c r="K23" s="162">
        <f>'登録DATA'!I19</f>
        <v>0</v>
      </c>
      <c r="L23" s="50"/>
      <c r="M23" s="50"/>
      <c r="N23" s="55"/>
      <c r="O23" s="83"/>
      <c r="P23" s="51">
        <f>IF(O23="","",IF(J23=1,VLOOKUP(O23,'男子種目コード'!$A$1:$B$15,2,FALSE),IF(J23=2,VLOOKUP(O23,'女子種目コード'!$A$1:$B$14,2,FALSE))))</f>
      </c>
      <c r="Q23" s="67"/>
      <c r="R23" s="184"/>
      <c r="S23" s="184"/>
      <c r="T23" s="83"/>
      <c r="U23" s="51">
        <f>IF(T23="","",IF(J23=1,VLOOKUP(T23,'男子種目コード'!$A$1:$B$15,2,FALSE),IF(J23=2,VLOOKUP(T23,'女子種目コード'!$A$1:$B$14,2,FALSE))))</f>
      </c>
      <c r="V23" s="73"/>
      <c r="W23" s="184"/>
      <c r="X23" s="184"/>
      <c r="Y23" s="75"/>
      <c r="Z23" s="21">
        <f>IF(Y23="","",IF(J23=1,VLOOKUP(Y23,'男子種目コード'!$A$1:$B$13,2,FALSE),IF(J23=2,VLOOKUP(Y23,'女子種目コード'!$A$1:$B$10,2,FALSE))))</f>
      </c>
      <c r="AA23" s="12"/>
      <c r="AB23" s="188"/>
      <c r="AC23" s="188"/>
      <c r="AD23" s="16">
        <v>200</v>
      </c>
      <c r="AE23" s="1">
        <f t="shared" si="8"/>
      </c>
      <c r="AF23" s="1">
        <f t="shared" si="9"/>
      </c>
      <c r="AG23" s="61">
        <v>1500</v>
      </c>
      <c r="AH23" s="62">
        <f>COUNTIF($P$7:$P$116,54)+COUNTIF($U$7:$U$116,54)</f>
        <v>0</v>
      </c>
      <c r="AI23" s="220"/>
      <c r="AJ23" s="221"/>
      <c r="AK23" s="221"/>
      <c r="AL23" s="221"/>
      <c r="AM23" s="221"/>
      <c r="AN23" s="26"/>
      <c r="AO23" s="43">
        <f t="shared" si="0"/>
        <v>0</v>
      </c>
      <c r="AP23" s="26"/>
      <c r="AQ23" s="1">
        <f t="shared" si="1"/>
        <v>0</v>
      </c>
      <c r="AR23" s="1">
        <f t="shared" si="2"/>
      </c>
      <c r="AS23" s="1">
        <f t="shared" si="3"/>
      </c>
      <c r="AT23" s="1" t="s">
        <v>88</v>
      </c>
      <c r="AU23" s="3">
        <v>2345100</v>
      </c>
      <c r="AY23" s="197"/>
      <c r="AZ23" s="197"/>
      <c r="BA23" s="197"/>
    </row>
    <row r="24" spans="1:53" ht="14.25">
      <c r="A24" s="99">
        <f t="shared" si="4"/>
        <v>0</v>
      </c>
      <c r="B24" s="97">
        <f t="shared" si="5"/>
        <v>0</v>
      </c>
      <c r="C24" s="129"/>
      <c r="D24" s="79">
        <f>'登録DATA'!E20</f>
        <v>0</v>
      </c>
      <c r="E24" s="180"/>
      <c r="F24" s="160">
        <f>'登録DATA'!G20</f>
        <v>0</v>
      </c>
      <c r="G24" s="160">
        <f>'登録DATA'!H20</f>
        <v>0</v>
      </c>
      <c r="H24" s="156">
        <f t="shared" si="6"/>
        <v>0</v>
      </c>
      <c r="I24" s="161">
        <f>'登録DATA'!J20</f>
        <v>0</v>
      </c>
      <c r="J24" s="155" t="b">
        <f t="shared" si="7"/>
        <v>0</v>
      </c>
      <c r="K24" s="162">
        <f>'登録DATA'!I20</f>
        <v>0</v>
      </c>
      <c r="L24" s="50"/>
      <c r="M24" s="50"/>
      <c r="N24" s="55"/>
      <c r="O24" s="83"/>
      <c r="P24" s="51">
        <f>IF(O24="","",IF(J24=1,VLOOKUP(O24,'男子種目コード'!$A$1:$B$15,2,FALSE),IF(J24=2,VLOOKUP(O24,'女子種目コード'!$A$1:$B$14,2,FALSE))))</f>
      </c>
      <c r="Q24" s="67"/>
      <c r="R24" s="184"/>
      <c r="S24" s="184"/>
      <c r="T24" s="83"/>
      <c r="U24" s="51">
        <f>IF(T24="","",IF(J24=1,VLOOKUP(T24,'男子種目コード'!$A$1:$B$15,2,FALSE),IF(J24=2,VLOOKUP(T24,'女子種目コード'!$A$1:$B$14,2,FALSE))))</f>
      </c>
      <c r="V24" s="73"/>
      <c r="W24" s="184"/>
      <c r="X24" s="184"/>
      <c r="Y24" s="75"/>
      <c r="Z24" s="21">
        <f>IF(Y24="","",IF(J24=1,VLOOKUP(Y24,'男子種目コード'!$A$1:$B$13,2,FALSE),IF(J24=2,VLOOKUP(Y24,'女子種目コード'!$A$1:$B$10,2,FALSE))))</f>
      </c>
      <c r="AA24" s="12"/>
      <c r="AB24" s="188"/>
      <c r="AC24" s="188"/>
      <c r="AD24" s="16">
        <v>800</v>
      </c>
      <c r="AE24" s="1">
        <f t="shared" si="8"/>
      </c>
      <c r="AF24" s="1">
        <f t="shared" si="9"/>
      </c>
      <c r="AG24" s="61" t="s">
        <v>275</v>
      </c>
      <c r="AH24" s="62">
        <f>COUNTIF($P$7:$P$116,55)+COUNTIF($U$7:$U$116,55)</f>
        <v>0</v>
      </c>
      <c r="AI24" s="220"/>
      <c r="AJ24" s="221"/>
      <c r="AK24" s="221"/>
      <c r="AL24" s="221"/>
      <c r="AM24" s="221"/>
      <c r="AN24" s="26"/>
      <c r="AO24" s="43">
        <f t="shared" si="0"/>
        <v>0</v>
      </c>
      <c r="AP24" s="26"/>
      <c r="AQ24" s="1">
        <f t="shared" si="1"/>
        <v>0</v>
      </c>
      <c r="AR24" s="1">
        <f t="shared" si="2"/>
      </c>
      <c r="AS24" s="1">
        <f t="shared" si="3"/>
      </c>
      <c r="AT24" s="1" t="s">
        <v>89</v>
      </c>
      <c r="AU24" s="3">
        <v>2345101</v>
      </c>
      <c r="AY24" s="197"/>
      <c r="AZ24" s="197"/>
      <c r="BA24" s="197"/>
    </row>
    <row r="25" spans="1:53" ht="14.25">
      <c r="A25" s="99">
        <f t="shared" si="4"/>
        <v>0</v>
      </c>
      <c r="B25" s="97">
        <f t="shared" si="5"/>
        <v>0</v>
      </c>
      <c r="C25" s="129"/>
      <c r="D25" s="79">
        <f>'登録DATA'!E21</f>
        <v>0</v>
      </c>
      <c r="E25" s="180"/>
      <c r="F25" s="160">
        <f>'登録DATA'!G21</f>
        <v>0</v>
      </c>
      <c r="G25" s="160">
        <f>'登録DATA'!H21</f>
        <v>0</v>
      </c>
      <c r="H25" s="156">
        <f t="shared" si="6"/>
        <v>0</v>
      </c>
      <c r="I25" s="161">
        <f>'登録DATA'!J21</f>
        <v>0</v>
      </c>
      <c r="J25" s="155" t="b">
        <f t="shared" si="7"/>
        <v>0</v>
      </c>
      <c r="K25" s="162">
        <f>'登録DATA'!I21</f>
        <v>0</v>
      </c>
      <c r="L25" s="50"/>
      <c r="M25" s="50"/>
      <c r="N25" s="55"/>
      <c r="O25" s="83"/>
      <c r="P25" s="51">
        <f>IF(O25="","",IF(J25=1,VLOOKUP(O25,'男子種目コード'!$A$1:$B$15,2,FALSE),IF(J25=2,VLOOKUP(O25,'女子種目コード'!$A$1:$B$14,2,FALSE))))</f>
      </c>
      <c r="Q25" s="67"/>
      <c r="R25" s="184"/>
      <c r="S25" s="184"/>
      <c r="T25" s="83"/>
      <c r="U25" s="51">
        <f>IF(T25="","",IF(J25=1,VLOOKUP(T25,'男子種目コード'!$A$1:$B$15,2,FALSE),IF(J25=2,VLOOKUP(T25,'女子種目コード'!$A$1:$B$14,2,FALSE))))</f>
      </c>
      <c r="V25" s="73"/>
      <c r="W25" s="184"/>
      <c r="X25" s="184"/>
      <c r="Y25" s="75"/>
      <c r="Z25" s="21">
        <f>IF(Y25="","",IF(J25=1,VLOOKUP(Y25,'男子種目コード'!$A$1:$B$13,2,FALSE),IF(J25=2,VLOOKUP(Y25,'女子種目コード'!$A$1:$B$10,2,FALSE))))</f>
      </c>
      <c r="AA25" s="12"/>
      <c r="AB25" s="188"/>
      <c r="AC25" s="188"/>
      <c r="AD25" s="16" t="s">
        <v>250</v>
      </c>
      <c r="AE25" s="1">
        <f t="shared" si="8"/>
      </c>
      <c r="AF25" s="1">
        <f t="shared" si="9"/>
      </c>
      <c r="AG25" s="61" t="s">
        <v>46</v>
      </c>
      <c r="AH25" s="62">
        <f>COUNTIF($P$7:$P$116,56)+COUNTIF($U$7:$U$116,56)</f>
        <v>0</v>
      </c>
      <c r="AI25" s="220"/>
      <c r="AJ25" s="221"/>
      <c r="AK25" s="221"/>
      <c r="AL25" s="221"/>
      <c r="AM25" s="221"/>
      <c r="AN25" s="26"/>
      <c r="AO25" s="43">
        <f t="shared" si="0"/>
        <v>0</v>
      </c>
      <c r="AP25" s="26"/>
      <c r="AQ25" s="1">
        <f t="shared" si="1"/>
        <v>0</v>
      </c>
      <c r="AR25" s="1">
        <f t="shared" si="2"/>
      </c>
      <c r="AS25" s="1">
        <f t="shared" si="3"/>
      </c>
      <c r="AT25" s="1" t="s">
        <v>169</v>
      </c>
      <c r="AU25" s="3">
        <v>2345102</v>
      </c>
      <c r="AY25" s="197"/>
      <c r="AZ25" s="197"/>
      <c r="BA25" s="197"/>
    </row>
    <row r="26" spans="1:53" ht="14.25">
      <c r="A26" s="99">
        <f t="shared" si="4"/>
        <v>0</v>
      </c>
      <c r="B26" s="97">
        <f t="shared" si="5"/>
        <v>0</v>
      </c>
      <c r="C26" s="129"/>
      <c r="D26" s="79">
        <f>'登録DATA'!E22</f>
        <v>0</v>
      </c>
      <c r="E26" s="180"/>
      <c r="F26" s="160">
        <f>'登録DATA'!G22</f>
        <v>0</v>
      </c>
      <c r="G26" s="160">
        <f>'登録DATA'!H22</f>
        <v>0</v>
      </c>
      <c r="H26" s="156">
        <f t="shared" si="6"/>
        <v>0</v>
      </c>
      <c r="I26" s="161">
        <f>'登録DATA'!J22</f>
        <v>0</v>
      </c>
      <c r="J26" s="155" t="b">
        <f t="shared" si="7"/>
        <v>0</v>
      </c>
      <c r="K26" s="162">
        <f>'登録DATA'!I22</f>
        <v>0</v>
      </c>
      <c r="L26" s="50"/>
      <c r="M26" s="50"/>
      <c r="N26" s="55"/>
      <c r="O26" s="83"/>
      <c r="P26" s="51">
        <f>IF(O26="","",IF(J26=1,VLOOKUP(O26,'男子種目コード'!$A$1:$B$15,2,FALSE),IF(J26=2,VLOOKUP(O26,'女子種目コード'!$A$1:$B$14,2,FALSE))))</f>
      </c>
      <c r="Q26" s="67"/>
      <c r="R26" s="184"/>
      <c r="S26" s="184"/>
      <c r="T26" s="83"/>
      <c r="U26" s="51">
        <f>IF(T26="","",IF(J26=1,VLOOKUP(T26,'男子種目コード'!$A$1:$B$15,2,FALSE),IF(J26=2,VLOOKUP(T26,'女子種目コード'!$A$1:$B$14,2,FALSE))))</f>
      </c>
      <c r="V26" s="73"/>
      <c r="W26" s="184"/>
      <c r="X26" s="184"/>
      <c r="Y26" s="75"/>
      <c r="Z26" s="21">
        <f>IF(Y26="","",IF(J26=1,VLOOKUP(Y26,'男子種目コード'!$A$1:$B$13,2,FALSE),IF(J26=2,VLOOKUP(Y26,'女子種目コード'!$A$1:$B$10,2,FALSE))))</f>
      </c>
      <c r="AA26" s="12"/>
      <c r="AB26" s="188"/>
      <c r="AC26" s="188"/>
      <c r="AD26" s="16" t="s">
        <v>48</v>
      </c>
      <c r="AE26" s="1">
        <f t="shared" si="8"/>
      </c>
      <c r="AF26" s="1">
        <f t="shared" si="9"/>
      </c>
      <c r="AG26" s="61" t="s">
        <v>47</v>
      </c>
      <c r="AH26" s="62">
        <f>COUNTIF($P$7:$P$116,58)+COUNTIF($U$7:$U$116,58)</f>
        <v>0</v>
      </c>
      <c r="AI26" s="220"/>
      <c r="AJ26" s="221"/>
      <c r="AK26" s="221"/>
      <c r="AL26" s="221"/>
      <c r="AM26" s="221"/>
      <c r="AN26" s="26"/>
      <c r="AO26" s="43">
        <f t="shared" si="0"/>
        <v>0</v>
      </c>
      <c r="AP26" s="26"/>
      <c r="AQ26" s="1">
        <f t="shared" si="1"/>
        <v>0</v>
      </c>
      <c r="AR26" s="1">
        <f t="shared" si="2"/>
      </c>
      <c r="AS26" s="1">
        <f t="shared" si="3"/>
      </c>
      <c r="AT26" s="1" t="s">
        <v>170</v>
      </c>
      <c r="AU26" s="3">
        <v>2345103</v>
      </c>
      <c r="AY26" s="197"/>
      <c r="AZ26" s="197"/>
      <c r="BA26" s="197"/>
    </row>
    <row r="27" spans="1:53" ht="13.5">
      <c r="A27" s="99">
        <f t="shared" si="4"/>
        <v>0</v>
      </c>
      <c r="B27" s="97">
        <f t="shared" si="5"/>
        <v>0</v>
      </c>
      <c r="C27" s="129"/>
      <c r="D27" s="79">
        <f>'登録DATA'!E23</f>
        <v>0</v>
      </c>
      <c r="E27" s="180"/>
      <c r="F27" s="160">
        <f>'登録DATA'!G23</f>
        <v>0</v>
      </c>
      <c r="G27" s="160">
        <f>'登録DATA'!H23</f>
        <v>0</v>
      </c>
      <c r="H27" s="156">
        <f t="shared" si="6"/>
        <v>0</v>
      </c>
      <c r="I27" s="161">
        <f>'登録DATA'!J23</f>
        <v>0</v>
      </c>
      <c r="J27" s="155" t="b">
        <f t="shared" si="7"/>
        <v>0</v>
      </c>
      <c r="K27" s="162">
        <f>'登録DATA'!I23</f>
        <v>0</v>
      </c>
      <c r="L27" s="50"/>
      <c r="M27" s="50"/>
      <c r="N27" s="55"/>
      <c r="O27" s="83"/>
      <c r="P27" s="51">
        <f>IF(O27="","",IF(J27=1,VLOOKUP(O27,'男子種目コード'!$A$1:$B$15,2,FALSE),IF(J27=2,VLOOKUP(O27,'女子種目コード'!$A$1:$B$14,2,FALSE))))</f>
      </c>
      <c r="Q27" s="67"/>
      <c r="R27" s="184"/>
      <c r="S27" s="184"/>
      <c r="T27" s="83"/>
      <c r="U27" s="51">
        <f>IF(T27="","",IF(J27=1,VLOOKUP(T27,'男子種目コード'!$A$1:$B$15,2,FALSE),IF(J27=2,VLOOKUP(T27,'女子種目コード'!$A$1:$B$14,2,FALSE))))</f>
      </c>
      <c r="V27" s="73"/>
      <c r="W27" s="184"/>
      <c r="X27" s="184"/>
      <c r="Y27" s="75"/>
      <c r="Z27" s="21">
        <f>IF(Y27="","",IF(J27=1,VLOOKUP(Y27,'男子種目コード'!$A$1:$B$13,2,FALSE),IF(J27=2,VLOOKUP(Y27,'女子種目コード'!$A$1:$B$10,2,FALSE))))</f>
      </c>
      <c r="AA27" s="12"/>
      <c r="AB27" s="188"/>
      <c r="AC27" s="188"/>
      <c r="AD27" s="3" t="s">
        <v>47</v>
      </c>
      <c r="AE27" s="1">
        <f t="shared" si="8"/>
      </c>
      <c r="AF27" s="1">
        <f t="shared" si="9"/>
      </c>
      <c r="AG27" s="61" t="s">
        <v>271</v>
      </c>
      <c r="AH27" s="62">
        <f>COUNTIF($P$7:$P$116,71)+COUNTIF($U$7:$U$116,71)</f>
        <v>0</v>
      </c>
      <c r="AI27" s="124"/>
      <c r="AJ27" s="22"/>
      <c r="AK27" s="22"/>
      <c r="AL27" s="22"/>
      <c r="AM27" s="22"/>
      <c r="AN27" s="26"/>
      <c r="AO27" s="43"/>
      <c r="AP27" s="26"/>
      <c r="AU27" s="3"/>
      <c r="AY27" s="197"/>
      <c r="AZ27" s="197"/>
      <c r="BA27" s="197"/>
    </row>
    <row r="28" spans="1:53" ht="13.5">
      <c r="A28" s="99">
        <f t="shared" si="4"/>
        <v>0</v>
      </c>
      <c r="B28" s="97">
        <f t="shared" si="5"/>
        <v>0</v>
      </c>
      <c r="C28" s="129"/>
      <c r="D28" s="79">
        <f>'登録DATA'!E24</f>
        <v>0</v>
      </c>
      <c r="E28" s="180"/>
      <c r="F28" s="160">
        <f>'登録DATA'!G24</f>
        <v>0</v>
      </c>
      <c r="G28" s="160">
        <f>'登録DATA'!H24</f>
        <v>0</v>
      </c>
      <c r="H28" s="156">
        <f t="shared" si="6"/>
        <v>0</v>
      </c>
      <c r="I28" s="161">
        <f>'登録DATA'!J24</f>
        <v>0</v>
      </c>
      <c r="J28" s="155" t="b">
        <f t="shared" si="7"/>
        <v>0</v>
      </c>
      <c r="K28" s="162">
        <f>'登録DATA'!I24</f>
        <v>0</v>
      </c>
      <c r="L28" s="50"/>
      <c r="M28" s="50"/>
      <c r="N28" s="55"/>
      <c r="O28" s="83"/>
      <c r="P28" s="51">
        <f>IF(O28="","",IF(J28=1,VLOOKUP(O28,'男子種目コード'!$A$1:$B$15,2,FALSE),IF(J28=2,VLOOKUP(O28,'女子種目コード'!$A$1:$B$14,2,FALSE))))</f>
      </c>
      <c r="Q28" s="67"/>
      <c r="R28" s="184"/>
      <c r="S28" s="184"/>
      <c r="T28" s="83"/>
      <c r="U28" s="51">
        <f>IF(T28="","",IF(J28=1,VLOOKUP(T28,'男子種目コード'!$A$1:$B$15,2,FALSE),IF(J28=2,VLOOKUP(T28,'女子種目コード'!$A$1:$B$14,2,FALSE))))</f>
      </c>
      <c r="V28" s="73"/>
      <c r="W28" s="184"/>
      <c r="X28" s="184"/>
      <c r="Y28" s="75"/>
      <c r="Z28" s="21">
        <f>IF(Y28="","",IF(J28=1,VLOOKUP(Y28,'男子種目コード'!$A$1:$B$13,2,FALSE),IF(J28=2,VLOOKUP(Y28,'女子種目コード'!$A$1:$B$10,2,FALSE))))</f>
      </c>
      <c r="AA28" s="12"/>
      <c r="AB28" s="188"/>
      <c r="AC28" s="188"/>
      <c r="AD28" s="3" t="s">
        <v>252</v>
      </c>
      <c r="AE28" s="1">
        <f t="shared" si="8"/>
      </c>
      <c r="AF28" s="1">
        <f t="shared" si="9"/>
      </c>
      <c r="AG28" s="61" t="s">
        <v>35</v>
      </c>
      <c r="AH28" s="62">
        <f>COUNTIF($P$7:$P$116,59)+COUNTIF($U$7:$U$116,59)</f>
        <v>0</v>
      </c>
      <c r="AI28" s="44"/>
      <c r="AJ28" s="25"/>
      <c r="AK28" s="25"/>
      <c r="AL28" s="25"/>
      <c r="AM28" s="25"/>
      <c r="AN28" s="26"/>
      <c r="AO28" s="43">
        <f>IF(OR(AE27=1,Y27=""),0,1)</f>
        <v>0</v>
      </c>
      <c r="AP28" s="26"/>
      <c r="AQ28" s="1">
        <f>COUNT(P27,U27)</f>
        <v>0</v>
      </c>
      <c r="AR28" s="1">
        <f>IF(J27=1,AQ28,"")</f>
      </c>
      <c r="AS28" s="1">
        <f>IF(J27=2,AQ28,"")</f>
      </c>
      <c r="AT28" s="1" t="s">
        <v>171</v>
      </c>
      <c r="AU28" s="3">
        <v>2345104</v>
      </c>
      <c r="AY28" s="197"/>
      <c r="AZ28" s="197"/>
      <c r="BA28" s="197"/>
    </row>
    <row r="29" spans="1:53" ht="13.5">
      <c r="A29" s="99">
        <f t="shared" si="4"/>
        <v>0</v>
      </c>
      <c r="B29" s="97">
        <f t="shared" si="5"/>
        <v>0</v>
      </c>
      <c r="C29" s="129"/>
      <c r="D29" s="79">
        <f>'登録DATA'!E25</f>
        <v>0</v>
      </c>
      <c r="E29" s="180"/>
      <c r="F29" s="160">
        <f>'登録DATA'!G25</f>
        <v>0</v>
      </c>
      <c r="G29" s="160">
        <f>'登録DATA'!H25</f>
        <v>0</v>
      </c>
      <c r="H29" s="156">
        <f t="shared" si="6"/>
        <v>0</v>
      </c>
      <c r="I29" s="161">
        <f>'登録DATA'!J25</f>
        <v>0</v>
      </c>
      <c r="J29" s="155" t="b">
        <f t="shared" si="7"/>
        <v>0</v>
      </c>
      <c r="K29" s="162">
        <f>'登録DATA'!I25</f>
        <v>0</v>
      </c>
      <c r="L29" s="50"/>
      <c r="M29" s="50"/>
      <c r="N29" s="55"/>
      <c r="O29" s="83"/>
      <c r="P29" s="51">
        <f>IF(O29="","",IF(J29=1,VLOOKUP(O29,'男子種目コード'!$A$1:$B$15,2,FALSE),IF(J29=2,VLOOKUP(O29,'女子種目コード'!$A$1:$B$14,2,FALSE))))</f>
      </c>
      <c r="Q29" s="67"/>
      <c r="R29" s="184"/>
      <c r="S29" s="184"/>
      <c r="T29" s="83"/>
      <c r="U29" s="51">
        <f>IF(T29="","",IF(J29=1,VLOOKUP(T29,'男子種目コード'!$A$1:$B$15,2,FALSE),IF(J29=2,VLOOKUP(T29,'女子種目コード'!$A$1:$B$14,2,FALSE))))</f>
      </c>
      <c r="V29" s="73"/>
      <c r="W29" s="184"/>
      <c r="X29" s="184"/>
      <c r="Y29" s="75"/>
      <c r="Z29" s="21">
        <f>IF(Y29="","",IF(J29=1,VLOOKUP(Y29,'男子種目コード'!$A$1:$B$13,2,FALSE),IF(J29=2,VLOOKUP(Y29,'女子種目コード'!$A$1:$B$10,2,FALSE))))</f>
      </c>
      <c r="AA29" s="12"/>
      <c r="AB29" s="188"/>
      <c r="AC29" s="188"/>
      <c r="AD29" s="3" t="s">
        <v>56</v>
      </c>
      <c r="AE29" s="1">
        <f t="shared" si="8"/>
      </c>
      <c r="AF29" s="1">
        <f t="shared" si="9"/>
      </c>
      <c r="AG29" s="61" t="s">
        <v>278</v>
      </c>
      <c r="AH29" s="62">
        <f>COUNTIF($P$7:$P$116,74)+COUNTIF($U$7:$U$116,74)</f>
        <v>0</v>
      </c>
      <c r="AI29" s="44"/>
      <c r="AJ29" s="25"/>
      <c r="AK29" s="25"/>
      <c r="AL29" s="25"/>
      <c r="AM29" s="25"/>
      <c r="AN29" s="26"/>
      <c r="AO29" s="43"/>
      <c r="AP29" s="26"/>
      <c r="AU29" s="3"/>
      <c r="AY29" s="197"/>
      <c r="AZ29" s="197"/>
      <c r="BA29" s="197"/>
    </row>
    <row r="30" spans="1:53" ht="13.5">
      <c r="A30" s="99">
        <f t="shared" si="4"/>
        <v>0</v>
      </c>
      <c r="B30" s="97">
        <f t="shared" si="5"/>
        <v>0</v>
      </c>
      <c r="C30" s="129"/>
      <c r="D30" s="79">
        <f>'登録DATA'!E26</f>
        <v>0</v>
      </c>
      <c r="E30" s="180"/>
      <c r="F30" s="160">
        <f>'登録DATA'!G26</f>
        <v>0</v>
      </c>
      <c r="G30" s="160">
        <f>'登録DATA'!H26</f>
        <v>0</v>
      </c>
      <c r="H30" s="156">
        <f t="shared" si="6"/>
        <v>0</v>
      </c>
      <c r="I30" s="161">
        <f>'登録DATA'!J26</f>
        <v>0</v>
      </c>
      <c r="J30" s="155" t="b">
        <f t="shared" si="7"/>
        <v>0</v>
      </c>
      <c r="K30" s="162">
        <f>'登録DATA'!I26</f>
        <v>0</v>
      </c>
      <c r="L30" s="50"/>
      <c r="M30" s="50"/>
      <c r="N30" s="55"/>
      <c r="O30" s="83"/>
      <c r="P30" s="51">
        <f>IF(O30="","",IF(J30=1,VLOOKUP(O30,'男子種目コード'!$A$1:$B$15,2,FALSE),IF(J30=2,VLOOKUP(O30,'女子種目コード'!$A$1:$B$14,2,FALSE))))</f>
      </c>
      <c r="Q30" s="67"/>
      <c r="R30" s="184"/>
      <c r="S30" s="184"/>
      <c r="T30" s="83"/>
      <c r="U30" s="51">
        <f>IF(T30="","",IF(J30=1,VLOOKUP(T30,'男子種目コード'!$A$1:$B$15,2,FALSE),IF(J30=2,VLOOKUP(T30,'女子種目コード'!$A$1:$B$14,2,FALSE))))</f>
      </c>
      <c r="V30" s="73"/>
      <c r="W30" s="184"/>
      <c r="X30" s="184"/>
      <c r="Y30" s="75"/>
      <c r="Z30" s="21">
        <f>IF(Y30="","",IF(J30=1,VLOOKUP(Y30,'男子種目コード'!$A$1:$B$13,2,FALSE),IF(J30=2,VLOOKUP(Y30,'女子種目コード'!$A$1:$B$10,2,FALSE))))</f>
      </c>
      <c r="AA30" s="12"/>
      <c r="AB30" s="188"/>
      <c r="AC30" s="188"/>
      <c r="AD30" s="3" t="s">
        <v>277</v>
      </c>
      <c r="AE30" s="1">
        <f t="shared" si="8"/>
      </c>
      <c r="AF30" s="1">
        <f t="shared" si="9"/>
      </c>
      <c r="AG30" s="61" t="s">
        <v>10</v>
      </c>
      <c r="AH30" s="62">
        <f>COUNTIF($P$7:$P$116,60)+COUNTIF($U$7:$U$116,60)</f>
        <v>0</v>
      </c>
      <c r="AI30" s="44"/>
      <c r="AJ30" s="25"/>
      <c r="AK30" s="25"/>
      <c r="AL30" s="25"/>
      <c r="AM30" s="25"/>
      <c r="AN30" s="26"/>
      <c r="AO30" s="43">
        <f aca="true" t="shared" si="11" ref="AO30:AO35">IF(OR(AE28=1,Y28=""),0,1)</f>
        <v>0</v>
      </c>
      <c r="AP30" s="26"/>
      <c r="AQ30" s="1">
        <f aca="true" t="shared" si="12" ref="AQ30:AQ35">COUNT(P28,U28)</f>
        <v>0</v>
      </c>
      <c r="AR30" s="1">
        <f aca="true" t="shared" si="13" ref="AR30:AR35">IF(J28=1,AQ30,"")</f>
      </c>
      <c r="AS30" s="1">
        <f aca="true" t="shared" si="14" ref="AS30:AS35">IF(J28=2,AQ30,"")</f>
      </c>
      <c r="AT30" s="1" t="s">
        <v>172</v>
      </c>
      <c r="AU30" s="3">
        <v>2345105</v>
      </c>
      <c r="AY30" s="197"/>
      <c r="AZ30" s="197"/>
      <c r="BA30" s="197"/>
    </row>
    <row r="31" spans="1:53" ht="14.25" thickBot="1">
      <c r="A31" s="99">
        <f t="shared" si="4"/>
        <v>0</v>
      </c>
      <c r="B31" s="97">
        <f t="shared" si="5"/>
        <v>0</v>
      </c>
      <c r="C31" s="129"/>
      <c r="D31" s="79">
        <f>'登録DATA'!E27</f>
        <v>0</v>
      </c>
      <c r="E31" s="180"/>
      <c r="F31" s="160">
        <f>'登録DATA'!G27</f>
        <v>0</v>
      </c>
      <c r="G31" s="160">
        <f>'登録DATA'!H27</f>
        <v>0</v>
      </c>
      <c r="H31" s="156">
        <f t="shared" si="6"/>
        <v>0</v>
      </c>
      <c r="I31" s="161">
        <f>'登録DATA'!J27</f>
        <v>0</v>
      </c>
      <c r="J31" s="155" t="b">
        <f t="shared" si="7"/>
        <v>0</v>
      </c>
      <c r="K31" s="162">
        <f>'登録DATA'!I27</f>
        <v>0</v>
      </c>
      <c r="L31" s="50"/>
      <c r="M31" s="50"/>
      <c r="N31" s="55"/>
      <c r="O31" s="83"/>
      <c r="P31" s="51">
        <f>IF(O31="","",IF(J31=1,VLOOKUP(O31,'男子種目コード'!$A$1:$B$15,2,FALSE),IF(J31=2,VLOOKUP(O31,'女子種目コード'!$A$1:$B$14,2,FALSE))))</f>
      </c>
      <c r="Q31" s="67"/>
      <c r="R31" s="184"/>
      <c r="S31" s="184"/>
      <c r="T31" s="83"/>
      <c r="U31" s="51">
        <f>IF(T31="","",IF(J31=1,VLOOKUP(T31,'男子種目コード'!$A$1:$B$15,2,FALSE),IF(J31=2,VLOOKUP(T31,'女子種目コード'!$A$1:$B$14,2,FALSE))))</f>
      </c>
      <c r="V31" s="73"/>
      <c r="W31" s="184"/>
      <c r="X31" s="184"/>
      <c r="Y31" s="75"/>
      <c r="Z31" s="21">
        <f>IF(Y31="","",IF(J31=1,VLOOKUP(Y31,'男子種目コード'!$A$1:$B$13,2,FALSE),IF(J31=2,VLOOKUP(Y31,'女子種目コード'!$A$1:$B$10,2,FALSE))))</f>
      </c>
      <c r="AA31" s="12"/>
      <c r="AB31" s="188"/>
      <c r="AC31" s="188"/>
      <c r="AD31" s="3" t="s">
        <v>10</v>
      </c>
      <c r="AE31" s="1">
        <f t="shared" si="8"/>
      </c>
      <c r="AF31" s="1">
        <f t="shared" si="9"/>
      </c>
      <c r="AG31" s="60" t="s">
        <v>37</v>
      </c>
      <c r="AH31" s="63">
        <f>SUM(AH19:AH30)</f>
        <v>0</v>
      </c>
      <c r="AI31" s="44"/>
      <c r="AJ31" s="25"/>
      <c r="AK31" s="25"/>
      <c r="AL31" s="25"/>
      <c r="AM31" s="25"/>
      <c r="AN31" s="26"/>
      <c r="AO31" s="43">
        <f t="shared" si="11"/>
        <v>0</v>
      </c>
      <c r="AP31" s="26"/>
      <c r="AQ31" s="1">
        <f t="shared" si="12"/>
        <v>0</v>
      </c>
      <c r="AR31" s="1">
        <f t="shared" si="13"/>
      </c>
      <c r="AS31" s="1">
        <f t="shared" si="14"/>
      </c>
      <c r="AT31" s="1" t="s">
        <v>245</v>
      </c>
      <c r="AU31" s="3">
        <v>2345106</v>
      </c>
      <c r="AY31" s="197"/>
      <c r="AZ31" s="197"/>
      <c r="BA31" s="197"/>
    </row>
    <row r="32" spans="1:53" ht="13.5">
      <c r="A32" s="99">
        <f t="shared" si="4"/>
        <v>0</v>
      </c>
      <c r="B32" s="97">
        <f t="shared" si="5"/>
        <v>0</v>
      </c>
      <c r="C32" s="129"/>
      <c r="D32" s="79">
        <f>'登録DATA'!E28</f>
        <v>0</v>
      </c>
      <c r="E32" s="180"/>
      <c r="F32" s="160">
        <f>'登録DATA'!G28</f>
        <v>0</v>
      </c>
      <c r="G32" s="160">
        <f>'登録DATA'!H28</f>
        <v>0</v>
      </c>
      <c r="H32" s="156">
        <f t="shared" si="6"/>
        <v>0</v>
      </c>
      <c r="I32" s="161">
        <f>'登録DATA'!J28</f>
        <v>0</v>
      </c>
      <c r="J32" s="155" t="b">
        <f t="shared" si="7"/>
        <v>0</v>
      </c>
      <c r="K32" s="162">
        <f>'登録DATA'!I28</f>
        <v>0</v>
      </c>
      <c r="L32" s="50"/>
      <c r="M32" s="50"/>
      <c r="N32" s="55"/>
      <c r="O32" s="83"/>
      <c r="P32" s="51">
        <f>IF(O32="","",IF(J32=1,VLOOKUP(O32,'男子種目コード'!$A$1:$B$15,2,FALSE),IF(J32=2,VLOOKUP(O32,'女子種目コード'!$A$1:$B$14,2,FALSE))))</f>
      </c>
      <c r="Q32" s="67"/>
      <c r="R32" s="184"/>
      <c r="S32" s="184"/>
      <c r="T32" s="83"/>
      <c r="U32" s="51">
        <f>IF(T32="","",IF(J32=1,VLOOKUP(T32,'男子種目コード'!$A$1:$B$15,2,FALSE),IF(J32=2,VLOOKUP(T32,'女子種目コード'!$A$1:$B$14,2,FALSE))))</f>
      </c>
      <c r="V32" s="73"/>
      <c r="W32" s="184"/>
      <c r="X32" s="184"/>
      <c r="Y32" s="75"/>
      <c r="Z32" s="21">
        <f>IF(Y32="","",IF(J32=1,VLOOKUP(Y32,'男子種目コード'!$A$1:$B$13,2,FALSE),IF(J32=2,VLOOKUP(Y32,'女子種目コード'!$A$1:$B$10,2,FALSE))))</f>
      </c>
      <c r="AA32" s="12"/>
      <c r="AB32" s="188"/>
      <c r="AC32" s="188"/>
      <c r="AD32" s="16" t="s">
        <v>30</v>
      </c>
      <c r="AE32" s="1">
        <f t="shared" si="8"/>
      </c>
      <c r="AF32" s="1">
        <f t="shared" si="9"/>
      </c>
      <c r="AG32" s="228" t="s">
        <v>20</v>
      </c>
      <c r="AH32" s="229"/>
      <c r="AI32" s="25"/>
      <c r="AJ32" s="25"/>
      <c r="AK32" s="25"/>
      <c r="AL32" s="25"/>
      <c r="AM32" s="25"/>
      <c r="AN32" s="26"/>
      <c r="AO32" s="43">
        <f t="shared" si="11"/>
        <v>0</v>
      </c>
      <c r="AP32" s="26"/>
      <c r="AQ32" s="1">
        <f t="shared" si="12"/>
        <v>0</v>
      </c>
      <c r="AR32" s="1">
        <f t="shared" si="13"/>
      </c>
      <c r="AS32" s="1">
        <f t="shared" si="14"/>
      </c>
      <c r="AT32" s="1" t="s">
        <v>173</v>
      </c>
      <c r="AU32" s="3">
        <v>2345107</v>
      </c>
      <c r="AY32" s="197"/>
      <c r="AZ32" s="197"/>
      <c r="BA32" s="197"/>
    </row>
    <row r="33" spans="1:53" ht="13.5">
      <c r="A33" s="99">
        <f t="shared" si="4"/>
        <v>0</v>
      </c>
      <c r="B33" s="97">
        <f t="shared" si="5"/>
        <v>0</v>
      </c>
      <c r="C33" s="129"/>
      <c r="D33" s="79">
        <f>'登録DATA'!E29</f>
        <v>0</v>
      </c>
      <c r="E33" s="180"/>
      <c r="F33" s="160">
        <f>'登録DATA'!G29</f>
        <v>0</v>
      </c>
      <c r="G33" s="160">
        <f>'登録DATA'!H29</f>
        <v>0</v>
      </c>
      <c r="H33" s="156">
        <f t="shared" si="6"/>
        <v>0</v>
      </c>
      <c r="I33" s="161">
        <f>'登録DATA'!J29</f>
        <v>0</v>
      </c>
      <c r="J33" s="155" t="b">
        <f t="shared" si="7"/>
        <v>0</v>
      </c>
      <c r="K33" s="162">
        <f>'登録DATA'!I29</f>
        <v>0</v>
      </c>
      <c r="L33" s="50"/>
      <c r="M33" s="50"/>
      <c r="N33" s="55"/>
      <c r="O33" s="83"/>
      <c r="P33" s="51">
        <f>IF(O33="","",IF(J33=1,VLOOKUP(O33,'男子種目コード'!$A$1:$B$15,2,FALSE),IF(J33=2,VLOOKUP(O33,'女子種目コード'!$A$1:$B$14,2,FALSE))))</f>
      </c>
      <c r="Q33" s="67"/>
      <c r="R33" s="184"/>
      <c r="S33" s="184"/>
      <c r="T33" s="83"/>
      <c r="U33" s="51">
        <f>IF(T33="","",IF(J33=1,VLOOKUP(T33,'男子種目コード'!$A$1:$B$15,2,FALSE),IF(J33=2,VLOOKUP(T33,'女子種目コード'!$A$1:$B$14,2,FALSE))))</f>
      </c>
      <c r="V33" s="73"/>
      <c r="W33" s="184"/>
      <c r="X33" s="184"/>
      <c r="Y33" s="75"/>
      <c r="Z33" s="21">
        <f>IF(Y33="","",IF(J33=1,VLOOKUP(Y33,'男子種目コード'!$A$1:$B$13,2,FALSE),IF(J33=2,VLOOKUP(Y33,'女子種目コード'!$A$1:$B$10,2,FALSE))))</f>
      </c>
      <c r="AA33" s="12"/>
      <c r="AB33" s="188"/>
      <c r="AC33" s="188"/>
      <c r="AD33" s="16" t="s">
        <v>31</v>
      </c>
      <c r="AE33" s="1">
        <f t="shared" si="8"/>
      </c>
      <c r="AF33" s="1">
        <f t="shared" si="9"/>
      </c>
      <c r="AG33" s="61">
        <v>100</v>
      </c>
      <c r="AH33" s="62">
        <f>COUNTIF($P$7:$P$116,61)+COUNTIF($U$7:$U$116,61)</f>
        <v>0</v>
      </c>
      <c r="AI33" s="25"/>
      <c r="AJ33" s="25"/>
      <c r="AK33" s="25"/>
      <c r="AL33" s="25"/>
      <c r="AM33" s="25"/>
      <c r="AN33" s="26"/>
      <c r="AO33" s="43">
        <f t="shared" si="11"/>
        <v>0</v>
      </c>
      <c r="AP33" s="26"/>
      <c r="AQ33" s="1">
        <f t="shared" si="12"/>
        <v>0</v>
      </c>
      <c r="AR33" s="1">
        <f t="shared" si="13"/>
      </c>
      <c r="AS33" s="1">
        <f t="shared" si="14"/>
      </c>
      <c r="AT33" s="1" t="s">
        <v>174</v>
      </c>
      <c r="AU33" s="3">
        <v>2345108</v>
      </c>
      <c r="AY33" s="197"/>
      <c r="AZ33" s="197"/>
      <c r="BA33" s="197"/>
    </row>
    <row r="34" spans="1:53" ht="13.5">
      <c r="A34" s="99">
        <f t="shared" si="4"/>
        <v>0</v>
      </c>
      <c r="B34" s="97">
        <f t="shared" si="5"/>
        <v>0</v>
      </c>
      <c r="C34" s="129"/>
      <c r="D34" s="79">
        <f>'登録DATA'!E30</f>
        <v>0</v>
      </c>
      <c r="E34" s="180"/>
      <c r="F34" s="160">
        <f>'登録DATA'!G30</f>
        <v>0</v>
      </c>
      <c r="G34" s="160">
        <f>'登録DATA'!H30</f>
        <v>0</v>
      </c>
      <c r="H34" s="156">
        <f t="shared" si="6"/>
        <v>0</v>
      </c>
      <c r="I34" s="161">
        <f>'登録DATA'!J30</f>
        <v>0</v>
      </c>
      <c r="J34" s="155" t="b">
        <f t="shared" si="7"/>
        <v>0</v>
      </c>
      <c r="K34" s="162">
        <f>'登録DATA'!I30</f>
        <v>0</v>
      </c>
      <c r="L34" s="50"/>
      <c r="M34" s="50"/>
      <c r="N34" s="55"/>
      <c r="O34" s="83"/>
      <c r="P34" s="51">
        <f>IF(O34="","",IF(J34=1,VLOOKUP(O34,'男子種目コード'!$A$1:$B$15,2,FALSE),IF(J34=2,VLOOKUP(O34,'女子種目コード'!$A$1:$B$14,2,FALSE))))</f>
      </c>
      <c r="Q34" s="67"/>
      <c r="R34" s="184"/>
      <c r="S34" s="184"/>
      <c r="T34" s="83"/>
      <c r="U34" s="51">
        <f>IF(T34="","",IF(J34=1,VLOOKUP(T34,'男子種目コード'!$A$1:$B$15,2,FALSE),IF(J34=2,VLOOKUP(T34,'女子種目コード'!$A$1:$B$14,2,FALSE))))</f>
      </c>
      <c r="V34" s="73"/>
      <c r="W34" s="184"/>
      <c r="X34" s="184"/>
      <c r="Y34" s="75"/>
      <c r="Z34" s="21">
        <f>IF(Y34="","",IF(J34=1,VLOOKUP(Y34,'男子種目コード'!$A$1:$B$13,2,FALSE),IF(J34=2,VLOOKUP(Y34,'女子種目コード'!$A$1:$B$10,2,FALSE))))</f>
      </c>
      <c r="AA34" s="12"/>
      <c r="AB34" s="188"/>
      <c r="AC34" s="188"/>
      <c r="AD34" s="16" t="s">
        <v>57</v>
      </c>
      <c r="AE34" s="1">
        <f t="shared" si="8"/>
      </c>
      <c r="AF34" s="1">
        <f t="shared" si="9"/>
      </c>
      <c r="AG34" s="61">
        <v>200</v>
      </c>
      <c r="AH34" s="62">
        <f>COUNTIF($P$7:$P$116,62)+COUNTIF($U$7:$U$116,62)</f>
        <v>0</v>
      </c>
      <c r="AI34" s="26"/>
      <c r="AJ34" s="26"/>
      <c r="AK34" s="26"/>
      <c r="AL34" s="26"/>
      <c r="AM34" s="26"/>
      <c r="AN34" s="26"/>
      <c r="AO34" s="43">
        <f t="shared" si="11"/>
        <v>0</v>
      </c>
      <c r="AP34" s="26"/>
      <c r="AQ34" s="1">
        <f t="shared" si="12"/>
        <v>0</v>
      </c>
      <c r="AR34" s="1">
        <f t="shared" si="13"/>
      </c>
      <c r="AS34" s="1">
        <f t="shared" si="14"/>
      </c>
      <c r="AT34" s="1" t="s">
        <v>175</v>
      </c>
      <c r="AU34" s="3">
        <v>2345109</v>
      </c>
      <c r="AY34" s="197"/>
      <c r="AZ34" s="197"/>
      <c r="BA34" s="197"/>
    </row>
    <row r="35" spans="1:53" ht="13.5">
      <c r="A35" s="99">
        <f t="shared" si="4"/>
        <v>0</v>
      </c>
      <c r="B35" s="97">
        <f t="shared" si="5"/>
        <v>0</v>
      </c>
      <c r="C35" s="129"/>
      <c r="D35" s="79">
        <f>'登録DATA'!E31</f>
        <v>0</v>
      </c>
      <c r="E35" s="180"/>
      <c r="F35" s="160">
        <f>'登録DATA'!G31</f>
        <v>0</v>
      </c>
      <c r="G35" s="160">
        <f>'登録DATA'!H31</f>
        <v>0</v>
      </c>
      <c r="H35" s="156">
        <f t="shared" si="6"/>
        <v>0</v>
      </c>
      <c r="I35" s="161">
        <f>'登録DATA'!J31</f>
        <v>0</v>
      </c>
      <c r="J35" s="155" t="b">
        <f t="shared" si="7"/>
        <v>0</v>
      </c>
      <c r="K35" s="162">
        <f>'登録DATA'!I31</f>
        <v>0</v>
      </c>
      <c r="L35" s="50"/>
      <c r="M35" s="50"/>
      <c r="N35" s="55"/>
      <c r="O35" s="83"/>
      <c r="P35" s="51">
        <f>IF(O35="","",IF(J35=1,VLOOKUP(O35,'男子種目コード'!$A$1:$B$15,2,FALSE),IF(J35=2,VLOOKUP(O35,'女子種目コード'!$A$1:$B$14,2,FALSE))))</f>
      </c>
      <c r="Q35" s="67"/>
      <c r="R35" s="184"/>
      <c r="S35" s="184"/>
      <c r="T35" s="83"/>
      <c r="U35" s="51">
        <f>IF(T35="","",IF(J35=1,VLOOKUP(T35,'男子種目コード'!$A$1:$B$15,2,FALSE),IF(J35=2,VLOOKUP(T35,'女子種目コード'!$A$1:$B$14,2,FALSE))))</f>
      </c>
      <c r="V35" s="73"/>
      <c r="W35" s="184"/>
      <c r="X35" s="184"/>
      <c r="Y35" s="75"/>
      <c r="Z35" s="21">
        <f>IF(Y35="","",IF(J35=1,VLOOKUP(Y35,'男子種目コード'!$A$1:$B$13,2,FALSE),IF(J35=2,VLOOKUP(Y35,'女子種目コード'!$A$1:$B$10,2,FALSE))))</f>
      </c>
      <c r="AA35" s="12"/>
      <c r="AB35" s="188"/>
      <c r="AC35" s="188"/>
      <c r="AD35" s="3"/>
      <c r="AE35" s="1">
        <f t="shared" si="8"/>
      </c>
      <c r="AF35" s="1">
        <f t="shared" si="9"/>
      </c>
      <c r="AG35" s="61">
        <v>800</v>
      </c>
      <c r="AH35" s="62">
        <f>COUNTIF($P$7:$P$116,63)+COUNTIF($U$7:$U$116,63)</f>
        <v>0</v>
      </c>
      <c r="AI35" s="26"/>
      <c r="AJ35" s="26"/>
      <c r="AK35" s="26"/>
      <c r="AL35" s="26"/>
      <c r="AM35" s="26"/>
      <c r="AN35" s="26"/>
      <c r="AO35" s="43">
        <f t="shared" si="11"/>
        <v>0</v>
      </c>
      <c r="AP35" s="26"/>
      <c r="AQ35" s="1">
        <f t="shared" si="12"/>
        <v>0</v>
      </c>
      <c r="AR35" s="1">
        <f t="shared" si="13"/>
      </c>
      <c r="AS35" s="1">
        <f t="shared" si="14"/>
      </c>
      <c r="AT35" s="1" t="s">
        <v>176</v>
      </c>
      <c r="AU35" s="3">
        <v>2345110</v>
      </c>
      <c r="AY35" s="197"/>
      <c r="AZ35" s="197"/>
      <c r="BA35" s="197"/>
    </row>
    <row r="36" spans="1:53" ht="13.5">
      <c r="A36" s="99">
        <f t="shared" si="4"/>
        <v>0</v>
      </c>
      <c r="B36" s="97">
        <f t="shared" si="5"/>
        <v>0</v>
      </c>
      <c r="C36" s="129"/>
      <c r="D36" s="79">
        <f>'登録DATA'!E32</f>
        <v>0</v>
      </c>
      <c r="E36" s="180"/>
      <c r="F36" s="160">
        <f>'登録DATA'!G32</f>
        <v>0</v>
      </c>
      <c r="G36" s="160">
        <f>'登録DATA'!H32</f>
        <v>0</v>
      </c>
      <c r="H36" s="156">
        <f t="shared" si="6"/>
        <v>0</v>
      </c>
      <c r="I36" s="161">
        <f>'登録DATA'!J32</f>
        <v>0</v>
      </c>
      <c r="J36" s="155" t="b">
        <f t="shared" si="7"/>
        <v>0</v>
      </c>
      <c r="K36" s="162">
        <f>'登録DATA'!I32</f>
        <v>0</v>
      </c>
      <c r="L36" s="50"/>
      <c r="M36" s="50"/>
      <c r="N36" s="55"/>
      <c r="O36" s="83"/>
      <c r="P36" s="51">
        <f>IF(O36="","",IF(J36=1,VLOOKUP(O36,'男子種目コード'!$A$1:$B$15,2,FALSE),IF(J36=2,VLOOKUP(O36,'女子種目コード'!$A$1:$B$14,2,FALSE))))</f>
      </c>
      <c r="Q36" s="67"/>
      <c r="R36" s="184"/>
      <c r="S36" s="184"/>
      <c r="T36" s="83"/>
      <c r="U36" s="51">
        <f>IF(T36="","",IF(J36=1,VLOOKUP(T36,'男子種目コード'!$A$1:$B$15,2,FALSE),IF(J36=2,VLOOKUP(T36,'女子種目コード'!$A$1:$B$14,2,FALSE))))</f>
      </c>
      <c r="V36" s="73"/>
      <c r="W36" s="184"/>
      <c r="X36" s="184"/>
      <c r="Y36" s="75"/>
      <c r="Z36" s="21">
        <f>IF(Y36="","",IF(J36=1,VLOOKUP(Y36,'男子種目コード'!$A$1:$B$13,2,FALSE),IF(J36=2,VLOOKUP(Y36,'女子種目コード'!$A$1:$B$10,2,FALSE))))</f>
      </c>
      <c r="AA36" s="12"/>
      <c r="AB36" s="188"/>
      <c r="AC36" s="188"/>
      <c r="AD36" s="3"/>
      <c r="AE36" s="1">
        <f t="shared" si="8"/>
      </c>
      <c r="AF36" s="1">
        <f t="shared" si="9"/>
      </c>
      <c r="AG36" s="61">
        <v>1500</v>
      </c>
      <c r="AH36" s="62">
        <f>COUNTIF($P$7:$P$116,69)+COUNTIF($U$7:$U$116,69)</f>
        <v>0</v>
      </c>
      <c r="AI36" s="26"/>
      <c r="AJ36" s="26"/>
      <c r="AK36" s="26"/>
      <c r="AL36" s="26"/>
      <c r="AM36" s="26"/>
      <c r="AN36" s="26"/>
      <c r="AO36" s="43"/>
      <c r="AP36" s="26"/>
      <c r="AU36" s="3"/>
      <c r="AY36" s="197"/>
      <c r="AZ36" s="197"/>
      <c r="BA36" s="197"/>
    </row>
    <row r="37" spans="1:53" ht="13.5">
      <c r="A37" s="99">
        <f t="shared" si="4"/>
        <v>0</v>
      </c>
      <c r="B37" s="97">
        <f t="shared" si="5"/>
        <v>0</v>
      </c>
      <c r="C37" s="129"/>
      <c r="D37" s="79">
        <f>'登録DATA'!E33</f>
        <v>0</v>
      </c>
      <c r="E37" s="180"/>
      <c r="F37" s="160">
        <f>'登録DATA'!G33</f>
        <v>0</v>
      </c>
      <c r="G37" s="160">
        <f>'登録DATA'!H33</f>
        <v>0</v>
      </c>
      <c r="H37" s="156">
        <f t="shared" si="6"/>
        <v>0</v>
      </c>
      <c r="I37" s="161">
        <f>'登録DATA'!J33</f>
        <v>0</v>
      </c>
      <c r="J37" s="155" t="b">
        <f t="shared" si="7"/>
        <v>0</v>
      </c>
      <c r="K37" s="162">
        <f>'登録DATA'!I33</f>
        <v>0</v>
      </c>
      <c r="L37" s="50"/>
      <c r="M37" s="50"/>
      <c r="N37" s="55"/>
      <c r="O37" s="83"/>
      <c r="P37" s="51">
        <f>IF(O37="","",IF(J37=1,VLOOKUP(O37,'男子種目コード'!$A$1:$B$15,2,FALSE),IF(J37=2,VLOOKUP(O37,'女子種目コード'!$A$1:$B$14,2,FALSE))))</f>
      </c>
      <c r="Q37" s="67"/>
      <c r="R37" s="184"/>
      <c r="S37" s="184"/>
      <c r="T37" s="83"/>
      <c r="U37" s="51">
        <f>IF(T37="","",IF(J37=1,VLOOKUP(T37,'男子種目コード'!$A$1:$B$15,2,FALSE),IF(J37=2,VLOOKUP(T37,'女子種目コード'!$A$1:$B$14,2,FALSE))))</f>
      </c>
      <c r="V37" s="73"/>
      <c r="W37" s="184"/>
      <c r="X37" s="184"/>
      <c r="Y37" s="75"/>
      <c r="Z37" s="21">
        <f>IF(Y37="","",IF(J37=1,VLOOKUP(Y37,'男子種目コード'!$A$1:$B$13,2,FALSE),IF(J37=2,VLOOKUP(Y37,'女子種目コード'!$A$1:$B$10,2,FALSE))))</f>
      </c>
      <c r="AA37" s="12"/>
      <c r="AB37" s="188"/>
      <c r="AC37" s="188"/>
      <c r="AD37" s="3"/>
      <c r="AE37" s="1">
        <f t="shared" si="8"/>
      </c>
      <c r="AF37" s="1">
        <f t="shared" si="9"/>
      </c>
      <c r="AG37" s="61" t="s">
        <v>49</v>
      </c>
      <c r="AH37" s="62">
        <f>COUNTIF($P$7:$P$116,64)+COUNTIF($U$7:$U$116,64)</f>
        <v>0</v>
      </c>
      <c r="AI37" s="26"/>
      <c r="AJ37" s="26"/>
      <c r="AK37" s="26"/>
      <c r="AL37" s="26"/>
      <c r="AM37" s="26"/>
      <c r="AN37" s="26"/>
      <c r="AO37" s="43">
        <f>IF(OR(AE34=1,Y34=""),0,1)</f>
        <v>0</v>
      </c>
      <c r="AP37" s="26"/>
      <c r="AQ37" s="1">
        <f>COUNT(P34,U34)</f>
        <v>0</v>
      </c>
      <c r="AR37" s="1">
        <f>IF(J34=1,AQ37,"")</f>
      </c>
      <c r="AS37" s="1">
        <f>IF(J34=2,AQ37,"")</f>
      </c>
      <c r="AT37" s="1" t="s">
        <v>177</v>
      </c>
      <c r="AU37" s="3">
        <v>2345111</v>
      </c>
      <c r="AY37" s="197"/>
      <c r="AZ37" s="197"/>
      <c r="BA37" s="197"/>
    </row>
    <row r="38" spans="1:53" ht="13.5">
      <c r="A38" s="99">
        <f t="shared" si="4"/>
        <v>0</v>
      </c>
      <c r="B38" s="97">
        <f t="shared" si="5"/>
        <v>0</v>
      </c>
      <c r="C38" s="129"/>
      <c r="D38" s="79">
        <f>'登録DATA'!E34</f>
        <v>0</v>
      </c>
      <c r="E38" s="180"/>
      <c r="F38" s="160">
        <f>'登録DATA'!G34</f>
        <v>0</v>
      </c>
      <c r="G38" s="160">
        <f>'登録DATA'!H34</f>
        <v>0</v>
      </c>
      <c r="H38" s="156">
        <f t="shared" si="6"/>
        <v>0</v>
      </c>
      <c r="I38" s="161">
        <f>'登録DATA'!J34</f>
        <v>0</v>
      </c>
      <c r="J38" s="155" t="b">
        <f t="shared" si="7"/>
        <v>0</v>
      </c>
      <c r="K38" s="162">
        <f>'登録DATA'!I34</f>
        <v>0</v>
      </c>
      <c r="L38" s="50"/>
      <c r="M38" s="50"/>
      <c r="N38" s="55"/>
      <c r="O38" s="83"/>
      <c r="P38" s="51">
        <f>IF(O38="","",IF(J38=1,VLOOKUP(O38,'男子種目コード'!$A$1:$B$15,2,FALSE),IF(J38=2,VLOOKUP(O38,'女子種目コード'!$A$1:$B$14,2,FALSE))))</f>
      </c>
      <c r="Q38" s="67"/>
      <c r="R38" s="184"/>
      <c r="S38" s="184"/>
      <c r="T38" s="83"/>
      <c r="U38" s="51">
        <f>IF(T38="","",IF(J38=1,VLOOKUP(T38,'男子種目コード'!$A$1:$B$15,2,FALSE),IF(J38=2,VLOOKUP(T38,'女子種目コード'!$A$1:$B$14,2,FALSE))))</f>
      </c>
      <c r="V38" s="73"/>
      <c r="W38" s="184"/>
      <c r="X38" s="184"/>
      <c r="Y38" s="75"/>
      <c r="Z38" s="21">
        <f>IF(Y38="","",IF(J38=1,VLOOKUP(Y38,'男子種目コード'!$A$1:$B$13,2,FALSE),IF(J38=2,VLOOKUP(Y38,'女子種目コード'!$A$1:$B$10,2,FALSE))))</f>
      </c>
      <c r="AA38" s="12"/>
      <c r="AB38" s="188"/>
      <c r="AC38" s="188"/>
      <c r="AD38" s="3"/>
      <c r="AE38" s="1">
        <f t="shared" si="8"/>
      </c>
      <c r="AF38" s="1">
        <f t="shared" si="9"/>
      </c>
      <c r="AG38" s="61" t="s">
        <v>50</v>
      </c>
      <c r="AH38" s="62">
        <f>COUNTIF($P$7:$P$116,66)+COUNTIF($U$7:$U$116,66)</f>
        <v>0</v>
      </c>
      <c r="AI38" s="26"/>
      <c r="AJ38" s="26"/>
      <c r="AK38" s="26"/>
      <c r="AL38" s="26"/>
      <c r="AM38" s="26"/>
      <c r="AN38" s="26"/>
      <c r="AO38" s="43">
        <f>IF(OR(AE35=1,Y35=""),0,1)</f>
        <v>0</v>
      </c>
      <c r="AP38" s="26"/>
      <c r="AQ38" s="1">
        <f>COUNT(P35,U35)</f>
        <v>0</v>
      </c>
      <c r="AR38" s="1">
        <f>IF(J35=1,AQ38,"")</f>
      </c>
      <c r="AS38" s="1">
        <f>IF(J35=2,AQ38,"")</f>
      </c>
      <c r="AT38" s="1" t="s">
        <v>178</v>
      </c>
      <c r="AU38" s="3">
        <v>2345112</v>
      </c>
      <c r="AY38" s="197"/>
      <c r="AZ38" s="197"/>
      <c r="BA38" s="197"/>
    </row>
    <row r="39" spans="1:53" ht="13.5">
      <c r="A39" s="99">
        <f t="shared" si="4"/>
        <v>0</v>
      </c>
      <c r="B39" s="97">
        <f t="shared" si="5"/>
        <v>0</v>
      </c>
      <c r="C39" s="129"/>
      <c r="D39" s="79">
        <f>'登録DATA'!E35</f>
        <v>0</v>
      </c>
      <c r="E39" s="180"/>
      <c r="F39" s="160">
        <f>'登録DATA'!G35</f>
        <v>0</v>
      </c>
      <c r="G39" s="160">
        <f>'登録DATA'!H35</f>
        <v>0</v>
      </c>
      <c r="H39" s="156">
        <f t="shared" si="6"/>
        <v>0</v>
      </c>
      <c r="I39" s="161">
        <f>'登録DATA'!J35</f>
        <v>0</v>
      </c>
      <c r="J39" s="155" t="b">
        <f t="shared" si="7"/>
        <v>0</v>
      </c>
      <c r="K39" s="162">
        <f>'登録DATA'!I35</f>
        <v>0</v>
      </c>
      <c r="L39" s="50"/>
      <c r="M39" s="50"/>
      <c r="N39" s="55"/>
      <c r="O39" s="83"/>
      <c r="P39" s="51">
        <f>IF(O39="","",IF(J39=1,VLOOKUP(O39,'男子種目コード'!$A$1:$B$15,2,FALSE),IF(J39=2,VLOOKUP(O39,'女子種目コード'!$A$1:$B$14,2,FALSE))))</f>
      </c>
      <c r="Q39" s="67"/>
      <c r="R39" s="184"/>
      <c r="S39" s="184"/>
      <c r="T39" s="83"/>
      <c r="U39" s="51">
        <f>IF(T39="","",IF(J39=1,VLOOKUP(T39,'男子種目コード'!$A$1:$B$15,2,FALSE),IF(J39=2,VLOOKUP(T39,'女子種目コード'!$A$1:$B$14,2,FALSE))))</f>
      </c>
      <c r="V39" s="73"/>
      <c r="W39" s="184"/>
      <c r="X39" s="184"/>
      <c r="Y39" s="75"/>
      <c r="Z39" s="21">
        <f>IF(Y39="","",IF(J39=1,VLOOKUP(Y39,'男子種目コード'!$A$1:$B$13,2,FALSE),IF(J39=2,VLOOKUP(Y39,'女子種目コード'!$A$1:$B$10,2,FALSE))))</f>
      </c>
      <c r="AA39" s="12"/>
      <c r="AB39" s="188"/>
      <c r="AC39" s="188"/>
      <c r="AD39" s="3"/>
      <c r="AE39" s="1">
        <f t="shared" si="8"/>
      </c>
      <c r="AF39" s="1">
        <f t="shared" si="9"/>
      </c>
      <c r="AG39" s="61" t="s">
        <v>272</v>
      </c>
      <c r="AH39" s="62">
        <f>COUNTIF($P$7:$P$116,72)+COUNTIF($U$7:$U$116,72)</f>
        <v>0</v>
      </c>
      <c r="AI39" s="26"/>
      <c r="AJ39" s="26"/>
      <c r="AK39" s="26"/>
      <c r="AL39" s="26"/>
      <c r="AM39" s="26"/>
      <c r="AN39" s="26"/>
      <c r="AO39" s="43"/>
      <c r="AP39" s="26"/>
      <c r="AU39" s="3"/>
      <c r="AY39" s="197"/>
      <c r="AZ39" s="197"/>
      <c r="BA39" s="197"/>
    </row>
    <row r="40" spans="1:53" ht="13.5">
      <c r="A40" s="99">
        <f t="shared" si="4"/>
        <v>0</v>
      </c>
      <c r="B40" s="97">
        <f t="shared" si="5"/>
        <v>0</v>
      </c>
      <c r="C40" s="129"/>
      <c r="D40" s="79">
        <f>'登録DATA'!E36</f>
        <v>0</v>
      </c>
      <c r="E40" s="180"/>
      <c r="F40" s="160">
        <f>'登録DATA'!G36</f>
        <v>0</v>
      </c>
      <c r="G40" s="160">
        <f>'登録DATA'!H36</f>
        <v>0</v>
      </c>
      <c r="H40" s="156">
        <f t="shared" si="6"/>
        <v>0</v>
      </c>
      <c r="I40" s="161">
        <f>'登録DATA'!J36</f>
        <v>0</v>
      </c>
      <c r="J40" s="155" t="b">
        <f t="shared" si="7"/>
        <v>0</v>
      </c>
      <c r="K40" s="162">
        <f>'登録DATA'!I36</f>
        <v>0</v>
      </c>
      <c r="L40" s="50"/>
      <c r="M40" s="50"/>
      <c r="N40" s="55"/>
      <c r="O40" s="83"/>
      <c r="P40" s="51">
        <f>IF(O40="","",IF(J40=1,VLOOKUP(O40,'男子種目コード'!$A$1:$B$15,2,FALSE),IF(J40=2,VLOOKUP(O40,'女子種目コード'!$A$1:$B$14,2,FALSE))))</f>
      </c>
      <c r="Q40" s="67"/>
      <c r="R40" s="184"/>
      <c r="S40" s="184"/>
      <c r="T40" s="83"/>
      <c r="U40" s="51">
        <f>IF(T40="","",IF(J40=1,VLOOKUP(T40,'男子種目コード'!$A$1:$B$15,2,FALSE),IF(J40=2,VLOOKUP(T40,'女子種目コード'!$A$1:$B$14,2,FALSE))))</f>
      </c>
      <c r="V40" s="73"/>
      <c r="W40" s="184"/>
      <c r="X40" s="184"/>
      <c r="Y40" s="75"/>
      <c r="Z40" s="21">
        <f>IF(Y40="","",IF(J40=1,VLOOKUP(Y40,'男子種目コード'!$A$1:$B$13,2,FALSE),IF(J40=2,VLOOKUP(Y40,'女子種目コード'!$A$1:$B$10,2,FALSE))))</f>
      </c>
      <c r="AA40" s="12"/>
      <c r="AB40" s="188"/>
      <c r="AC40" s="188"/>
      <c r="AD40" s="3"/>
      <c r="AE40" s="1">
        <f t="shared" si="8"/>
      </c>
      <c r="AF40" s="1">
        <f t="shared" si="9"/>
      </c>
      <c r="AG40" s="61" t="s">
        <v>35</v>
      </c>
      <c r="AH40" s="62">
        <f>COUNTIF($P$7:$P$116,67)+COUNTIF($U$7:$U$116,67)</f>
        <v>0</v>
      </c>
      <c r="AI40" s="26"/>
      <c r="AJ40" s="26"/>
      <c r="AK40" s="26"/>
      <c r="AL40" s="26"/>
      <c r="AM40" s="26"/>
      <c r="AN40" s="26"/>
      <c r="AO40" s="43">
        <f>IF(OR(AE36=1,Y36=""),0,1)</f>
        <v>0</v>
      </c>
      <c r="AP40" s="26"/>
      <c r="AQ40" s="1">
        <f>COUNT(P36,U36)</f>
        <v>0</v>
      </c>
      <c r="AR40" s="1">
        <f>IF(J36=1,AQ40,"")</f>
      </c>
      <c r="AS40" s="1">
        <f>IF(J36=2,AQ40,"")</f>
      </c>
      <c r="AT40" s="1" t="s">
        <v>179</v>
      </c>
      <c r="AU40" s="3">
        <v>2345113</v>
      </c>
      <c r="AY40" s="197"/>
      <c r="AZ40" s="197"/>
      <c r="BA40" s="197"/>
    </row>
    <row r="41" spans="1:53" ht="13.5">
      <c r="A41" s="99">
        <f t="shared" si="4"/>
        <v>0</v>
      </c>
      <c r="B41" s="97">
        <f t="shared" si="5"/>
        <v>0</v>
      </c>
      <c r="C41" s="129"/>
      <c r="D41" s="79">
        <f>'登録DATA'!E37</f>
        <v>0</v>
      </c>
      <c r="E41" s="180"/>
      <c r="F41" s="160">
        <f>'登録DATA'!G37</f>
        <v>0</v>
      </c>
      <c r="G41" s="160">
        <f>'登録DATA'!H37</f>
        <v>0</v>
      </c>
      <c r="H41" s="156">
        <f t="shared" si="6"/>
        <v>0</v>
      </c>
      <c r="I41" s="161">
        <f>'登録DATA'!J37</f>
        <v>0</v>
      </c>
      <c r="J41" s="155" t="b">
        <f t="shared" si="7"/>
        <v>0</v>
      </c>
      <c r="K41" s="162">
        <f>'登録DATA'!I37</f>
        <v>0</v>
      </c>
      <c r="L41" s="50"/>
      <c r="M41" s="50"/>
      <c r="N41" s="55"/>
      <c r="O41" s="83"/>
      <c r="P41" s="51">
        <f>IF(O41="","",IF(J41=1,VLOOKUP(O41,'男子種目コード'!$A$1:$B$15,2,FALSE),IF(J41=2,VLOOKUP(O41,'女子種目コード'!$A$1:$B$14,2,FALSE))))</f>
      </c>
      <c r="Q41" s="67"/>
      <c r="R41" s="184"/>
      <c r="S41" s="184"/>
      <c r="T41" s="83"/>
      <c r="U41" s="51">
        <f>IF(T41="","",IF(J41=1,VLOOKUP(T41,'男子種目コード'!$A$1:$B$15,2,FALSE),IF(J41=2,VLOOKUP(T41,'女子種目コード'!$A$1:$B$14,2,FALSE))))</f>
      </c>
      <c r="V41" s="73"/>
      <c r="W41" s="184"/>
      <c r="X41" s="184"/>
      <c r="Y41" s="75"/>
      <c r="Z41" s="21">
        <f>IF(Y41="","",IF(J41=1,VLOOKUP(Y41,'男子種目コード'!$A$1:$B$13,2,FALSE),IF(J41=2,VLOOKUP(Y41,'女子種目コード'!$A$1:$B$10,2,FALSE))))</f>
      </c>
      <c r="AA41" s="12"/>
      <c r="AB41" s="188"/>
      <c r="AC41" s="188"/>
      <c r="AD41" s="3"/>
      <c r="AE41" s="1">
        <f t="shared" si="8"/>
      </c>
      <c r="AF41" s="1">
        <f t="shared" si="9"/>
      </c>
      <c r="AG41" s="61" t="s">
        <v>277</v>
      </c>
      <c r="AH41" s="62">
        <f>COUNTIF($P$7:$P$116,73)+COUNTIF($U$7:$U$116,73)</f>
        <v>0</v>
      </c>
      <c r="AI41" s="26"/>
      <c r="AJ41" s="26"/>
      <c r="AK41" s="26"/>
      <c r="AL41" s="26"/>
      <c r="AM41" s="26"/>
      <c r="AN41" s="26"/>
      <c r="AO41" s="43"/>
      <c r="AP41" s="26"/>
      <c r="AU41" s="3"/>
      <c r="AY41" s="197"/>
      <c r="AZ41" s="197"/>
      <c r="BA41" s="197"/>
    </row>
    <row r="42" spans="1:53" ht="13.5">
      <c r="A42" s="99">
        <f t="shared" si="4"/>
        <v>0</v>
      </c>
      <c r="B42" s="97">
        <f t="shared" si="5"/>
        <v>0</v>
      </c>
      <c r="C42" s="129"/>
      <c r="D42" s="79">
        <f>'登録DATA'!E38</f>
        <v>0</v>
      </c>
      <c r="E42" s="180"/>
      <c r="F42" s="160">
        <f>'登録DATA'!G38</f>
        <v>0</v>
      </c>
      <c r="G42" s="160">
        <f>'登録DATA'!H38</f>
        <v>0</v>
      </c>
      <c r="H42" s="156">
        <f t="shared" si="6"/>
        <v>0</v>
      </c>
      <c r="I42" s="161">
        <f>'登録DATA'!J38</f>
        <v>0</v>
      </c>
      <c r="J42" s="155" t="b">
        <f t="shared" si="7"/>
        <v>0</v>
      </c>
      <c r="K42" s="162">
        <f>'登録DATA'!I38</f>
        <v>0</v>
      </c>
      <c r="L42" s="50"/>
      <c r="M42" s="50"/>
      <c r="N42" s="55"/>
      <c r="O42" s="83"/>
      <c r="P42" s="51">
        <f>IF(O42="","",IF(J42=1,VLOOKUP(O42,'男子種目コード'!$A$1:$B$15,2,FALSE),IF(J42=2,VLOOKUP(O42,'女子種目コード'!$A$1:$B$14,2,FALSE))))</f>
      </c>
      <c r="Q42" s="67"/>
      <c r="R42" s="184"/>
      <c r="S42" s="184"/>
      <c r="T42" s="83"/>
      <c r="U42" s="51">
        <f>IF(T42="","",IF(J42=1,VLOOKUP(T42,'男子種目コード'!$A$1:$B$15,2,FALSE),IF(J42=2,VLOOKUP(T42,'女子種目コード'!$A$1:$B$14,2,FALSE))))</f>
      </c>
      <c r="V42" s="73"/>
      <c r="W42" s="184"/>
      <c r="X42" s="184"/>
      <c r="Y42" s="75"/>
      <c r="Z42" s="21">
        <f>IF(Y42="","",IF(J42=1,VLOOKUP(Y42,'男子種目コード'!$A$1:$B$13,2,FALSE),IF(J42=2,VLOOKUP(Y42,'女子種目コード'!$A$1:$B$10,2,FALSE))))</f>
      </c>
      <c r="AA42" s="12"/>
      <c r="AB42" s="188"/>
      <c r="AC42" s="188"/>
      <c r="AD42" s="3"/>
      <c r="AE42" s="1">
        <f t="shared" si="8"/>
      </c>
      <c r="AF42" s="1">
        <f t="shared" si="9"/>
      </c>
      <c r="AG42" s="61" t="s">
        <v>10</v>
      </c>
      <c r="AH42" s="62">
        <f>COUNTIF($P$7:$P$116,68)+COUNTIF($U$7:$U$116,68)</f>
        <v>0</v>
      </c>
      <c r="AI42" s="26"/>
      <c r="AJ42" s="26"/>
      <c r="AK42" s="26"/>
      <c r="AL42" s="26"/>
      <c r="AM42" s="26"/>
      <c r="AN42" s="26"/>
      <c r="AO42" s="43">
        <f aca="true" t="shared" si="15" ref="AO42:AO72">IF(OR(AE37=1,Y37=""),0,1)</f>
        <v>0</v>
      </c>
      <c r="AP42" s="26"/>
      <c r="AQ42" s="1">
        <f aca="true" t="shared" si="16" ref="AQ42:AQ72">COUNT(P37,U37)</f>
        <v>0</v>
      </c>
      <c r="AR42" s="1">
        <f aca="true" t="shared" si="17" ref="AR42:AR73">IF(J37=1,AQ42,"")</f>
      </c>
      <c r="AS42" s="1">
        <f aca="true" t="shared" si="18" ref="AS42:AS73">IF(J37=2,AQ42,"")</f>
      </c>
      <c r="AT42" s="1" t="s">
        <v>180</v>
      </c>
      <c r="AU42" s="3">
        <v>2345114</v>
      </c>
      <c r="AY42" s="197"/>
      <c r="AZ42" s="197"/>
      <c r="BA42" s="197"/>
    </row>
    <row r="43" spans="1:53" ht="14.25" thickBot="1">
      <c r="A43" s="99">
        <f t="shared" si="4"/>
        <v>0</v>
      </c>
      <c r="B43" s="97">
        <f t="shared" si="5"/>
        <v>0</v>
      </c>
      <c r="C43" s="129"/>
      <c r="D43" s="79">
        <f>'登録DATA'!E39</f>
        <v>0</v>
      </c>
      <c r="E43" s="180"/>
      <c r="F43" s="160">
        <f>'登録DATA'!G39</f>
        <v>0</v>
      </c>
      <c r="G43" s="160">
        <f>'登録DATA'!H39</f>
        <v>0</v>
      </c>
      <c r="H43" s="156">
        <f t="shared" si="6"/>
        <v>0</v>
      </c>
      <c r="I43" s="161">
        <f>'登録DATA'!J39</f>
        <v>0</v>
      </c>
      <c r="J43" s="155" t="b">
        <f t="shared" si="7"/>
        <v>0</v>
      </c>
      <c r="K43" s="162">
        <f>'登録DATA'!I39</f>
        <v>0</v>
      </c>
      <c r="L43" s="50"/>
      <c r="M43" s="50"/>
      <c r="N43" s="55"/>
      <c r="O43" s="83"/>
      <c r="P43" s="51">
        <f>IF(O43="","",IF(J43=1,VLOOKUP(O43,'男子種目コード'!$A$1:$B$15,2,FALSE),IF(J43=2,VLOOKUP(O43,'女子種目コード'!$A$1:$B$14,2,FALSE))))</f>
      </c>
      <c r="Q43" s="67"/>
      <c r="R43" s="184"/>
      <c r="S43" s="184"/>
      <c r="T43" s="83"/>
      <c r="U43" s="51">
        <f>IF(T43="","",IF(J43=1,VLOOKUP(T43,'男子種目コード'!$A$1:$B$15,2,FALSE),IF(J43=2,VLOOKUP(T43,'女子種目コード'!$A$1:$B$14,2,FALSE))))</f>
      </c>
      <c r="V43" s="73"/>
      <c r="W43" s="184"/>
      <c r="X43" s="184"/>
      <c r="Y43" s="75"/>
      <c r="Z43" s="21">
        <f>IF(Y43="","",IF(J43=1,VLOOKUP(Y43,'男子種目コード'!$A$1:$B$13,2,FALSE),IF(J43=2,VLOOKUP(Y43,'女子種目コード'!$A$1:$B$10,2,FALSE))))</f>
      </c>
      <c r="AA43" s="12"/>
      <c r="AB43" s="188"/>
      <c r="AC43" s="188"/>
      <c r="AD43" s="3"/>
      <c r="AE43" s="1">
        <f t="shared" si="8"/>
      </c>
      <c r="AF43" s="1">
        <f t="shared" si="9"/>
      </c>
      <c r="AG43" s="100" t="s">
        <v>37</v>
      </c>
      <c r="AH43" s="101">
        <f>SUM(AH33:AH42)</f>
        <v>0</v>
      </c>
      <c r="AI43" s="26"/>
      <c r="AJ43" s="26"/>
      <c r="AK43" s="26"/>
      <c r="AL43" s="26"/>
      <c r="AM43" s="26"/>
      <c r="AN43" s="26"/>
      <c r="AO43" s="43">
        <f t="shared" si="15"/>
        <v>0</v>
      </c>
      <c r="AP43" s="26"/>
      <c r="AQ43" s="1">
        <f t="shared" si="16"/>
        <v>0</v>
      </c>
      <c r="AR43" s="1">
        <f t="shared" si="17"/>
      </c>
      <c r="AS43" s="1">
        <f t="shared" si="18"/>
      </c>
      <c r="AT43" s="1" t="s">
        <v>181</v>
      </c>
      <c r="AU43" s="3">
        <v>2345115</v>
      </c>
      <c r="AY43" s="197"/>
      <c r="AZ43" s="197"/>
      <c r="BA43" s="197"/>
    </row>
    <row r="44" spans="1:53" ht="13.5">
      <c r="A44" s="99">
        <f t="shared" si="4"/>
        <v>0</v>
      </c>
      <c r="B44" s="97">
        <f t="shared" si="5"/>
        <v>0</v>
      </c>
      <c r="C44" s="129"/>
      <c r="D44" s="79">
        <f>'登録DATA'!E40</f>
        <v>0</v>
      </c>
      <c r="E44" s="180"/>
      <c r="F44" s="160">
        <f>'登録DATA'!G40</f>
        <v>0</v>
      </c>
      <c r="G44" s="160">
        <f>'登録DATA'!H40</f>
        <v>0</v>
      </c>
      <c r="H44" s="156">
        <f t="shared" si="6"/>
        <v>0</v>
      </c>
      <c r="I44" s="161">
        <f>'登録DATA'!J40</f>
        <v>0</v>
      </c>
      <c r="J44" s="155" t="b">
        <f t="shared" si="7"/>
        <v>0</v>
      </c>
      <c r="K44" s="162">
        <f>'登録DATA'!I40</f>
        <v>0</v>
      </c>
      <c r="L44" s="50"/>
      <c r="M44" s="50"/>
      <c r="N44" s="55"/>
      <c r="O44" s="83"/>
      <c r="P44" s="51">
        <f>IF(O44="","",IF(J44=1,VLOOKUP(O44,'男子種目コード'!$A$1:$B$15,2,FALSE),IF(J44=2,VLOOKUP(O44,'女子種目コード'!$A$1:$B$14,2,FALSE))))</f>
      </c>
      <c r="Q44" s="67"/>
      <c r="R44" s="184"/>
      <c r="S44" s="184"/>
      <c r="T44" s="83"/>
      <c r="U44" s="51">
        <f>IF(T44="","",IF(J44=1,VLOOKUP(T44,'男子種目コード'!$A$1:$B$15,2,FALSE),IF(J44=2,VLOOKUP(T44,'女子種目コード'!$A$1:$B$14,2,FALSE))))</f>
      </c>
      <c r="V44" s="73"/>
      <c r="W44" s="184"/>
      <c r="X44" s="184"/>
      <c r="Y44" s="75"/>
      <c r="Z44" s="21">
        <f>IF(Y44="","",IF(J44=1,VLOOKUP(Y44,'男子種目コード'!$A$1:$B$13,2,FALSE),IF(J44=2,VLOOKUP(Y44,'女子種目コード'!$A$1:$B$10,2,FALSE))))</f>
      </c>
      <c r="AA44" s="12"/>
      <c r="AB44" s="188"/>
      <c r="AC44" s="188"/>
      <c r="AD44" s="3"/>
      <c r="AE44" s="1">
        <f t="shared" si="8"/>
      </c>
      <c r="AF44" s="1">
        <f t="shared" si="9"/>
      </c>
      <c r="AG44" s="253" t="s">
        <v>27</v>
      </c>
      <c r="AH44" s="254"/>
      <c r="AI44" s="255" t="s">
        <v>28</v>
      </c>
      <c r="AJ44" s="256"/>
      <c r="AK44" s="26"/>
      <c r="AL44" s="26"/>
      <c r="AM44" s="26"/>
      <c r="AN44" s="26"/>
      <c r="AO44" s="43">
        <f t="shared" si="15"/>
        <v>0</v>
      </c>
      <c r="AP44" s="26"/>
      <c r="AQ44" s="1">
        <f t="shared" si="16"/>
        <v>0</v>
      </c>
      <c r="AR44" s="1">
        <f t="shared" si="17"/>
      </c>
      <c r="AS44" s="1">
        <f t="shared" si="18"/>
      </c>
      <c r="AT44" s="1" t="s">
        <v>182</v>
      </c>
      <c r="AU44" s="3">
        <v>2345116</v>
      </c>
      <c r="AY44" s="197"/>
      <c r="AZ44" s="197"/>
      <c r="BA44" s="197"/>
    </row>
    <row r="45" spans="1:53" ht="13.5">
      <c r="A45" s="99">
        <f t="shared" si="4"/>
        <v>0</v>
      </c>
      <c r="B45" s="97">
        <f t="shared" si="5"/>
        <v>0</v>
      </c>
      <c r="C45" s="129"/>
      <c r="D45" s="79">
        <f>'登録DATA'!E41</f>
        <v>0</v>
      </c>
      <c r="E45" s="180"/>
      <c r="F45" s="160">
        <f>'登録DATA'!G41</f>
        <v>0</v>
      </c>
      <c r="G45" s="160">
        <f>'登録DATA'!H41</f>
        <v>0</v>
      </c>
      <c r="H45" s="156">
        <f t="shared" si="6"/>
        <v>0</v>
      </c>
      <c r="I45" s="161">
        <f>'登録DATA'!J41</f>
        <v>0</v>
      </c>
      <c r="J45" s="155" t="b">
        <f t="shared" si="7"/>
        <v>0</v>
      </c>
      <c r="K45" s="162">
        <f>'登録DATA'!I41</f>
        <v>0</v>
      </c>
      <c r="L45" s="50"/>
      <c r="M45" s="50"/>
      <c r="N45" s="55"/>
      <c r="O45" s="83"/>
      <c r="P45" s="51">
        <f>IF(O45="","",IF(J45=1,VLOOKUP(O45,'男子種目コード'!$A$1:$B$15,2,FALSE),IF(J45=2,VLOOKUP(O45,'女子種目コード'!$A$1:$B$14,2,FALSE))))</f>
      </c>
      <c r="Q45" s="67"/>
      <c r="R45" s="184"/>
      <c r="S45" s="184"/>
      <c r="T45" s="83"/>
      <c r="U45" s="51">
        <f>IF(T45="","",IF(J45=1,VLOOKUP(T45,'男子種目コード'!$A$1:$B$15,2,FALSE),IF(J45=2,VLOOKUP(T45,'女子種目コード'!$A$1:$B$14,2,FALSE))))</f>
      </c>
      <c r="V45" s="73"/>
      <c r="W45" s="184"/>
      <c r="X45" s="184"/>
      <c r="Y45" s="75"/>
      <c r="Z45" s="21">
        <f>IF(Y45="","",IF(J45=1,VLOOKUP(Y45,'男子種目コード'!$A$1:$B$13,2,FALSE),IF(J45=2,VLOOKUP(Y45,'女子種目コード'!$A$1:$B$10,2,FALSE))))</f>
      </c>
      <c r="AA45" s="12"/>
      <c r="AB45" s="188"/>
      <c r="AC45" s="188"/>
      <c r="AD45" s="3"/>
      <c r="AE45" s="1">
        <f t="shared" si="8"/>
      </c>
      <c r="AF45" s="1">
        <f t="shared" si="9"/>
      </c>
      <c r="AG45" s="237">
        <f aca="true" t="shared" si="19" ref="AG45:AG50">IF(ISERROR(AV45),"",AV45)</f>
      </c>
      <c r="AH45" s="231"/>
      <c r="AI45" s="231">
        <f aca="true" t="shared" si="20" ref="AI45:AI50">IF(ISERROR(AW45),"",AW45)</f>
      </c>
      <c r="AJ45" s="232"/>
      <c r="AK45" s="26"/>
      <c r="AL45" s="26"/>
      <c r="AM45" s="26"/>
      <c r="AN45" s="26"/>
      <c r="AO45" s="43">
        <f t="shared" si="15"/>
        <v>0</v>
      </c>
      <c r="AP45" s="26"/>
      <c r="AQ45" s="1">
        <f t="shared" si="16"/>
        <v>0</v>
      </c>
      <c r="AR45" s="1">
        <f t="shared" si="17"/>
      </c>
      <c r="AS45" s="1">
        <f t="shared" si="18"/>
      </c>
      <c r="AT45" s="1" t="s">
        <v>183</v>
      </c>
      <c r="AU45" s="3">
        <v>2345117</v>
      </c>
      <c r="AV45" s="57" t="e">
        <f>VLOOKUPX("男子A",$A$7:$G$116,1,6)</f>
        <v>#N/A</v>
      </c>
      <c r="AW45" s="57" t="e">
        <f>VLOOKUPX("男子B",$A$7:$G$116,1,6)</f>
        <v>#N/A</v>
      </c>
      <c r="AY45" s="197"/>
      <c r="AZ45" s="197"/>
      <c r="BA45" s="197"/>
    </row>
    <row r="46" spans="1:53" ht="13.5">
      <c r="A46" s="99">
        <f t="shared" si="4"/>
        <v>0</v>
      </c>
      <c r="B46" s="97">
        <f t="shared" si="5"/>
        <v>0</v>
      </c>
      <c r="C46" s="129"/>
      <c r="D46" s="79">
        <f>'登録DATA'!E42</f>
        <v>0</v>
      </c>
      <c r="E46" s="180"/>
      <c r="F46" s="160">
        <f>'登録DATA'!G42</f>
        <v>0</v>
      </c>
      <c r="G46" s="160">
        <f>'登録DATA'!H42</f>
        <v>0</v>
      </c>
      <c r="H46" s="156">
        <f t="shared" si="6"/>
        <v>0</v>
      </c>
      <c r="I46" s="161">
        <f>'登録DATA'!J42</f>
        <v>0</v>
      </c>
      <c r="J46" s="155" t="b">
        <f t="shared" si="7"/>
        <v>0</v>
      </c>
      <c r="K46" s="162">
        <f>'登録DATA'!I42</f>
        <v>0</v>
      </c>
      <c r="L46" s="50"/>
      <c r="M46" s="50"/>
      <c r="N46" s="55"/>
      <c r="O46" s="83"/>
      <c r="P46" s="51">
        <f>IF(O46="","",IF(J46=1,VLOOKUP(O46,'男子種目コード'!$A$1:$B$15,2,FALSE),IF(J46=2,VLOOKUP(O46,'女子種目コード'!$A$1:$B$14,2,FALSE))))</f>
      </c>
      <c r="Q46" s="67"/>
      <c r="R46" s="184"/>
      <c r="S46" s="184"/>
      <c r="T46" s="83"/>
      <c r="U46" s="51">
        <f>IF(T46="","",IF(J46=1,VLOOKUP(T46,'男子種目コード'!$A$1:$B$15,2,FALSE),IF(J46=2,VLOOKUP(T46,'女子種目コード'!$A$1:$B$14,2,FALSE))))</f>
      </c>
      <c r="V46" s="73"/>
      <c r="W46" s="184"/>
      <c r="X46" s="184"/>
      <c r="Y46" s="75"/>
      <c r="Z46" s="21">
        <f>IF(Y46="","",IF(J46=1,VLOOKUP(Y46,'男子種目コード'!$A$1:$B$13,2,FALSE),IF(J46=2,VLOOKUP(Y46,'女子種目コード'!$A$1:$B$10,2,FALSE))))</f>
      </c>
      <c r="AA46" s="12"/>
      <c r="AB46" s="188"/>
      <c r="AC46" s="188"/>
      <c r="AD46" s="3"/>
      <c r="AE46" s="1">
        <f t="shared" si="8"/>
      </c>
      <c r="AF46" s="1">
        <f t="shared" si="9"/>
      </c>
      <c r="AG46" s="237">
        <f t="shared" si="19"/>
      </c>
      <c r="AH46" s="231"/>
      <c r="AI46" s="231">
        <f t="shared" si="20"/>
      </c>
      <c r="AJ46" s="232"/>
      <c r="AK46" s="26"/>
      <c r="AL46" s="26"/>
      <c r="AM46" s="26"/>
      <c r="AN46" s="26"/>
      <c r="AO46" s="43">
        <f t="shared" si="15"/>
        <v>0</v>
      </c>
      <c r="AP46" s="26"/>
      <c r="AQ46" s="1">
        <f t="shared" si="16"/>
        <v>0</v>
      </c>
      <c r="AR46" s="1">
        <f t="shared" si="17"/>
      </c>
      <c r="AS46" s="1">
        <f t="shared" si="18"/>
      </c>
      <c r="AT46" s="1" t="s">
        <v>246</v>
      </c>
      <c r="AU46" s="3">
        <v>2345119</v>
      </c>
      <c r="AV46" s="57" t="e">
        <f>VLOOKUPX("男子A",$A$7:$G$116,2,6)</f>
        <v>#N/A</v>
      </c>
      <c r="AW46" s="57" t="e">
        <f>VLOOKUPX("男子B",$A$7:$G$116,2,6)</f>
        <v>#N/A</v>
      </c>
      <c r="AY46" s="197"/>
      <c r="AZ46" s="197"/>
      <c r="BA46" s="197"/>
    </row>
    <row r="47" spans="1:53" ht="13.5">
      <c r="A47" s="99">
        <f t="shared" si="4"/>
        <v>0</v>
      </c>
      <c r="B47" s="97">
        <f t="shared" si="5"/>
        <v>0</v>
      </c>
      <c r="C47" s="129"/>
      <c r="D47" s="79">
        <f>'登録DATA'!E43</f>
        <v>0</v>
      </c>
      <c r="E47" s="180"/>
      <c r="F47" s="160">
        <f>'登録DATA'!G43</f>
        <v>0</v>
      </c>
      <c r="G47" s="160">
        <f>'登録DATA'!H43</f>
        <v>0</v>
      </c>
      <c r="H47" s="156">
        <f t="shared" si="6"/>
        <v>0</v>
      </c>
      <c r="I47" s="161">
        <f>'登録DATA'!J43</f>
        <v>0</v>
      </c>
      <c r="J47" s="155" t="b">
        <f t="shared" si="7"/>
        <v>0</v>
      </c>
      <c r="K47" s="162">
        <f>'登録DATA'!I43</f>
        <v>0</v>
      </c>
      <c r="L47" s="50"/>
      <c r="M47" s="50"/>
      <c r="N47" s="55"/>
      <c r="O47" s="83"/>
      <c r="P47" s="51">
        <f>IF(O47="","",IF(J47=1,VLOOKUP(O47,'男子種目コード'!$A$1:$B$15,2,FALSE),IF(J47=2,VLOOKUP(O47,'女子種目コード'!$A$1:$B$14,2,FALSE))))</f>
      </c>
      <c r="Q47" s="67"/>
      <c r="R47" s="184"/>
      <c r="S47" s="184"/>
      <c r="T47" s="83"/>
      <c r="U47" s="51">
        <f>IF(T47="","",IF(J47=1,VLOOKUP(T47,'男子種目コード'!$A$1:$B$15,2,FALSE),IF(J47=2,VLOOKUP(T47,'女子種目コード'!$A$1:$B$14,2,FALSE))))</f>
      </c>
      <c r="V47" s="73"/>
      <c r="W47" s="184"/>
      <c r="X47" s="184"/>
      <c r="Y47" s="75"/>
      <c r="Z47" s="21">
        <f>IF(Y47="","",IF(J47=1,VLOOKUP(Y47,'男子種目コード'!$A$1:$B$13,2,FALSE),IF(J47=2,VLOOKUP(Y47,'女子種目コード'!$A$1:$B$10,2,FALSE))))</f>
      </c>
      <c r="AA47" s="12"/>
      <c r="AB47" s="188"/>
      <c r="AC47" s="188"/>
      <c r="AD47" s="3"/>
      <c r="AE47" s="1">
        <f t="shared" si="8"/>
      </c>
      <c r="AF47" s="1">
        <f t="shared" si="9"/>
      </c>
      <c r="AG47" s="237">
        <f t="shared" si="19"/>
      </c>
      <c r="AH47" s="231"/>
      <c r="AI47" s="231">
        <f t="shared" si="20"/>
      </c>
      <c r="AJ47" s="232"/>
      <c r="AK47" s="26"/>
      <c r="AL47" s="26"/>
      <c r="AM47" s="26"/>
      <c r="AN47" s="26"/>
      <c r="AO47" s="43">
        <f t="shared" si="15"/>
        <v>0</v>
      </c>
      <c r="AP47" s="26"/>
      <c r="AQ47" s="1">
        <f t="shared" si="16"/>
        <v>0</v>
      </c>
      <c r="AR47" s="1">
        <f t="shared" si="17"/>
      </c>
      <c r="AS47" s="1">
        <f t="shared" si="18"/>
      </c>
      <c r="AT47" s="1" t="s">
        <v>184</v>
      </c>
      <c r="AU47" s="3">
        <v>2345121</v>
      </c>
      <c r="AV47" s="57" t="e">
        <f>VLOOKUPX("男子A",$A$7:$G$116,3,6)</f>
        <v>#N/A</v>
      </c>
      <c r="AW47" s="57" t="e">
        <f>VLOOKUPX("男子B",$A$7:$G$116,3,6)</f>
        <v>#N/A</v>
      </c>
      <c r="AY47" s="197"/>
      <c r="AZ47" s="197"/>
      <c r="BA47" s="197"/>
    </row>
    <row r="48" spans="1:53" ht="13.5">
      <c r="A48" s="99">
        <f t="shared" si="4"/>
        <v>0</v>
      </c>
      <c r="B48" s="97">
        <f t="shared" si="5"/>
        <v>0</v>
      </c>
      <c r="C48" s="129"/>
      <c r="D48" s="79">
        <f>'登録DATA'!E44</f>
        <v>0</v>
      </c>
      <c r="E48" s="180"/>
      <c r="F48" s="160">
        <f>'登録DATA'!G44</f>
        <v>0</v>
      </c>
      <c r="G48" s="160">
        <f>'登録DATA'!H44</f>
        <v>0</v>
      </c>
      <c r="H48" s="156">
        <f t="shared" si="6"/>
        <v>0</v>
      </c>
      <c r="I48" s="161">
        <f>'登録DATA'!J44</f>
        <v>0</v>
      </c>
      <c r="J48" s="155" t="b">
        <f t="shared" si="7"/>
        <v>0</v>
      </c>
      <c r="K48" s="162">
        <f>'登録DATA'!I44</f>
        <v>0</v>
      </c>
      <c r="L48" s="50"/>
      <c r="M48" s="50"/>
      <c r="N48" s="55"/>
      <c r="O48" s="83"/>
      <c r="P48" s="51">
        <f>IF(O48="","",IF(J48=1,VLOOKUP(O48,'男子種目コード'!$A$1:$B$15,2,FALSE),IF(J48=2,VLOOKUP(O48,'女子種目コード'!$A$1:$B$14,2,FALSE))))</f>
      </c>
      <c r="Q48" s="67"/>
      <c r="R48" s="184"/>
      <c r="S48" s="184"/>
      <c r="T48" s="83"/>
      <c r="U48" s="51">
        <f>IF(T48="","",IF(J48=1,VLOOKUP(T48,'男子種目コード'!$A$1:$B$15,2,FALSE),IF(J48=2,VLOOKUP(T48,'女子種目コード'!$A$1:$B$14,2,FALSE))))</f>
      </c>
      <c r="V48" s="73"/>
      <c r="W48" s="184"/>
      <c r="X48" s="184"/>
      <c r="Y48" s="75"/>
      <c r="Z48" s="21">
        <f>IF(Y48="","",IF(J48=1,VLOOKUP(Y48,'男子種目コード'!$A$1:$B$13,2,FALSE),IF(J48=2,VLOOKUP(Y48,'女子種目コード'!$A$1:$B$10,2,FALSE))))</f>
      </c>
      <c r="AA48" s="12"/>
      <c r="AB48" s="188"/>
      <c r="AC48" s="188"/>
      <c r="AD48" s="3"/>
      <c r="AE48" s="1">
        <f t="shared" si="8"/>
      </c>
      <c r="AF48" s="1">
        <f t="shared" si="9"/>
      </c>
      <c r="AG48" s="237">
        <f t="shared" si="19"/>
      </c>
      <c r="AH48" s="231"/>
      <c r="AI48" s="231">
        <f t="shared" si="20"/>
      </c>
      <c r="AJ48" s="232"/>
      <c r="AK48" s="26"/>
      <c r="AL48" s="26"/>
      <c r="AM48" s="26"/>
      <c r="AN48" s="26"/>
      <c r="AO48" s="43">
        <f t="shared" si="15"/>
        <v>0</v>
      </c>
      <c r="AP48" s="26"/>
      <c r="AQ48" s="1">
        <f t="shared" si="16"/>
        <v>0</v>
      </c>
      <c r="AR48" s="1">
        <f t="shared" si="17"/>
      </c>
      <c r="AS48" s="1">
        <f t="shared" si="18"/>
      </c>
      <c r="AT48" s="1" t="s">
        <v>185</v>
      </c>
      <c r="AU48" s="3">
        <v>2345122</v>
      </c>
      <c r="AV48" s="57" t="e">
        <f>VLOOKUPX("男子A",$A$7:$G$116,4,6)</f>
        <v>#N/A</v>
      </c>
      <c r="AW48" s="57" t="e">
        <f>VLOOKUPX("男子B",$A$7:$G$116,4,6)</f>
        <v>#N/A</v>
      </c>
      <c r="AY48" s="197"/>
      <c r="AZ48" s="197"/>
      <c r="BA48" s="197"/>
    </row>
    <row r="49" spans="1:53" ht="13.5">
      <c r="A49" s="99">
        <f t="shared" si="4"/>
        <v>0</v>
      </c>
      <c r="B49" s="97">
        <f t="shared" si="5"/>
        <v>0</v>
      </c>
      <c r="C49" s="129"/>
      <c r="D49" s="79">
        <f>'登録DATA'!E45</f>
        <v>0</v>
      </c>
      <c r="E49" s="180"/>
      <c r="F49" s="160">
        <f>'登録DATA'!G45</f>
        <v>0</v>
      </c>
      <c r="G49" s="160">
        <f>'登録DATA'!H45</f>
        <v>0</v>
      </c>
      <c r="H49" s="156">
        <f t="shared" si="6"/>
        <v>0</v>
      </c>
      <c r="I49" s="161">
        <f>'登録DATA'!J45</f>
        <v>0</v>
      </c>
      <c r="J49" s="155" t="b">
        <f t="shared" si="7"/>
        <v>0</v>
      </c>
      <c r="K49" s="162">
        <f>'登録DATA'!I45</f>
        <v>0</v>
      </c>
      <c r="L49" s="50"/>
      <c r="M49" s="50"/>
      <c r="N49" s="55"/>
      <c r="O49" s="83"/>
      <c r="P49" s="51">
        <f>IF(O49="","",IF(J49=1,VLOOKUP(O49,'男子種目コード'!$A$1:$B$15,2,FALSE),IF(J49=2,VLOOKUP(O49,'女子種目コード'!$A$1:$B$14,2,FALSE))))</f>
      </c>
      <c r="Q49" s="67"/>
      <c r="R49" s="184"/>
      <c r="S49" s="184"/>
      <c r="T49" s="83"/>
      <c r="U49" s="51">
        <f>IF(T49="","",IF(J49=1,VLOOKUP(T49,'男子種目コード'!$A$1:$B$15,2,FALSE),IF(J49=2,VLOOKUP(T49,'女子種目コード'!$A$1:$B$14,2,FALSE))))</f>
      </c>
      <c r="V49" s="73"/>
      <c r="W49" s="184"/>
      <c r="X49" s="184"/>
      <c r="Y49" s="75"/>
      <c r="Z49" s="21">
        <f>IF(Y49="","",IF(J49=1,VLOOKUP(Y49,'男子種目コード'!$A$1:$B$13,2,FALSE),IF(J49=2,VLOOKUP(Y49,'女子種目コード'!$A$1:$B$10,2,FALSE))))</f>
      </c>
      <c r="AA49" s="12"/>
      <c r="AB49" s="188"/>
      <c r="AC49" s="188"/>
      <c r="AD49" s="3"/>
      <c r="AE49" s="1">
        <f t="shared" si="8"/>
      </c>
      <c r="AF49" s="1">
        <f t="shared" si="9"/>
      </c>
      <c r="AG49" s="237">
        <f t="shared" si="19"/>
      </c>
      <c r="AH49" s="231"/>
      <c r="AI49" s="231">
        <f t="shared" si="20"/>
      </c>
      <c r="AJ49" s="232"/>
      <c r="AK49" s="26"/>
      <c r="AL49" s="26"/>
      <c r="AM49" s="26"/>
      <c r="AN49" s="26"/>
      <c r="AO49" s="43">
        <f t="shared" si="15"/>
        <v>0</v>
      </c>
      <c r="AP49" s="26"/>
      <c r="AQ49" s="1">
        <f t="shared" si="16"/>
        <v>0</v>
      </c>
      <c r="AR49" s="1">
        <f t="shared" si="17"/>
      </c>
      <c r="AS49" s="1">
        <f t="shared" si="18"/>
      </c>
      <c r="AT49" s="1" t="s">
        <v>247</v>
      </c>
      <c r="AU49" s="3">
        <v>2345123</v>
      </c>
      <c r="AV49" s="57" t="e">
        <f>VLOOKUPX("男子A",$A$7:$G$116,5,6)</f>
        <v>#N/A</v>
      </c>
      <c r="AW49" s="57" t="e">
        <f>VLOOKUPX("男子B",$A$7:$G$116,5,6)</f>
        <v>#N/A</v>
      </c>
      <c r="AY49" s="197"/>
      <c r="AZ49" s="197"/>
      <c r="BA49" s="197"/>
    </row>
    <row r="50" spans="1:53" ht="14.25" thickBot="1">
      <c r="A50" s="99">
        <f t="shared" si="4"/>
        <v>0</v>
      </c>
      <c r="B50" s="97">
        <f t="shared" si="5"/>
        <v>0</v>
      </c>
      <c r="C50" s="129"/>
      <c r="D50" s="79">
        <f>'登録DATA'!E46</f>
        <v>0</v>
      </c>
      <c r="E50" s="180"/>
      <c r="F50" s="160">
        <f>'登録DATA'!G46</f>
        <v>0</v>
      </c>
      <c r="G50" s="160">
        <f>'登録DATA'!H46</f>
        <v>0</v>
      </c>
      <c r="H50" s="156">
        <f t="shared" si="6"/>
        <v>0</v>
      </c>
      <c r="I50" s="161">
        <f>'登録DATA'!J46</f>
        <v>0</v>
      </c>
      <c r="J50" s="155" t="b">
        <f t="shared" si="7"/>
        <v>0</v>
      </c>
      <c r="K50" s="162">
        <f>'登録DATA'!I46</f>
        <v>0</v>
      </c>
      <c r="L50" s="50"/>
      <c r="M50" s="50"/>
      <c r="N50" s="55"/>
      <c r="O50" s="83"/>
      <c r="P50" s="51">
        <f>IF(O50="","",IF(J50=1,VLOOKUP(O50,'男子種目コード'!$A$1:$B$15,2,FALSE),IF(J50=2,VLOOKUP(O50,'女子種目コード'!$A$1:$B$14,2,FALSE))))</f>
      </c>
      <c r="Q50" s="67"/>
      <c r="R50" s="184"/>
      <c r="S50" s="184"/>
      <c r="T50" s="83"/>
      <c r="U50" s="51">
        <f>IF(T50="","",IF(J50=1,VLOOKUP(T50,'男子種目コード'!$A$1:$B$15,2,FALSE),IF(J50=2,VLOOKUP(T50,'女子種目コード'!$A$1:$B$14,2,FALSE))))</f>
      </c>
      <c r="V50" s="73"/>
      <c r="W50" s="184"/>
      <c r="X50" s="184"/>
      <c r="Y50" s="75"/>
      <c r="Z50" s="21">
        <f>IF(Y50="","",IF(J50=1,VLOOKUP(Y50,'男子種目コード'!$A$1:$B$13,2,FALSE),IF(J50=2,VLOOKUP(Y50,'女子種目コード'!$A$1:$B$10,2,FALSE))))</f>
      </c>
      <c r="AA50" s="12"/>
      <c r="AB50" s="188"/>
      <c r="AC50" s="188"/>
      <c r="AD50" s="3"/>
      <c r="AE50" s="1">
        <f t="shared" si="8"/>
      </c>
      <c r="AF50" s="1">
        <f t="shared" si="9"/>
      </c>
      <c r="AG50" s="261">
        <f t="shared" si="19"/>
      </c>
      <c r="AH50" s="235"/>
      <c r="AI50" s="235">
        <f t="shared" si="20"/>
      </c>
      <c r="AJ50" s="236"/>
      <c r="AK50" s="26"/>
      <c r="AL50" s="26"/>
      <c r="AM50" s="26"/>
      <c r="AN50" s="26"/>
      <c r="AO50" s="43">
        <f t="shared" si="15"/>
        <v>0</v>
      </c>
      <c r="AP50" s="26"/>
      <c r="AQ50" s="1">
        <f t="shared" si="16"/>
        <v>0</v>
      </c>
      <c r="AR50" s="1">
        <f t="shared" si="17"/>
      </c>
      <c r="AS50" s="1">
        <f t="shared" si="18"/>
      </c>
      <c r="AT50" s="1" t="s">
        <v>186</v>
      </c>
      <c r="AU50" s="3">
        <v>2345124</v>
      </c>
      <c r="AV50" s="57" t="e">
        <f>VLOOKUPX("男子A",$A$7:$G$116,6,6)</f>
        <v>#N/A</v>
      </c>
      <c r="AW50" s="57" t="e">
        <f>VLOOKUPX("男子B",$A$7:$G$116,6,6)</f>
        <v>#N/A</v>
      </c>
      <c r="AY50" s="197"/>
      <c r="AZ50" s="197"/>
      <c r="BA50" s="197"/>
    </row>
    <row r="51" spans="1:53" ht="13.5">
      <c r="A51" s="99">
        <f t="shared" si="4"/>
        <v>0</v>
      </c>
      <c r="B51" s="97">
        <f t="shared" si="5"/>
        <v>0</v>
      </c>
      <c r="C51" s="129"/>
      <c r="D51" s="79">
        <f>'登録DATA'!E47</f>
        <v>0</v>
      </c>
      <c r="E51" s="180"/>
      <c r="F51" s="160">
        <f>'登録DATA'!G47</f>
        <v>0</v>
      </c>
      <c r="G51" s="160">
        <f>'登録DATA'!H47</f>
        <v>0</v>
      </c>
      <c r="H51" s="156">
        <f t="shared" si="6"/>
        <v>0</v>
      </c>
      <c r="I51" s="161">
        <f>'登録DATA'!J47</f>
        <v>0</v>
      </c>
      <c r="J51" s="155" t="b">
        <f t="shared" si="7"/>
        <v>0</v>
      </c>
      <c r="K51" s="162">
        <f>'登録DATA'!I47</f>
        <v>0</v>
      </c>
      <c r="L51" s="50"/>
      <c r="M51" s="50"/>
      <c r="N51" s="55"/>
      <c r="O51" s="83"/>
      <c r="P51" s="51">
        <f>IF(O51="","",IF(J51=1,VLOOKUP(O51,'男子種目コード'!$A$1:$B$15,2,FALSE),IF(J51=2,VLOOKUP(O51,'女子種目コード'!$A$1:$B$14,2,FALSE))))</f>
      </c>
      <c r="Q51" s="67"/>
      <c r="R51" s="184"/>
      <c r="S51" s="184"/>
      <c r="T51" s="83"/>
      <c r="U51" s="51">
        <f>IF(T51="","",IF(J51=1,VLOOKUP(T51,'男子種目コード'!$A$1:$B$15,2,FALSE),IF(J51=2,VLOOKUP(T51,'女子種目コード'!$A$1:$B$14,2,FALSE))))</f>
      </c>
      <c r="V51" s="73"/>
      <c r="W51" s="184"/>
      <c r="X51" s="184"/>
      <c r="Y51" s="75"/>
      <c r="Z51" s="21">
        <f>IF(Y51="","",IF(J51=1,VLOOKUP(Y51,'男子種目コード'!$A$1:$B$13,2,FALSE),IF(J51=2,VLOOKUP(Y51,'女子種目コード'!$A$1:$B$10,2,FALSE))))</f>
      </c>
      <c r="AA51" s="12"/>
      <c r="AB51" s="188"/>
      <c r="AC51" s="188"/>
      <c r="AD51" s="3"/>
      <c r="AE51" s="1">
        <f t="shared" si="8"/>
      </c>
      <c r="AF51" s="1">
        <f t="shared" si="9"/>
      </c>
      <c r="AG51" s="257" t="s">
        <v>29</v>
      </c>
      <c r="AH51" s="258"/>
      <c r="AI51" s="26"/>
      <c r="AJ51" s="26"/>
      <c r="AK51" s="26"/>
      <c r="AL51" s="26"/>
      <c r="AM51" s="26"/>
      <c r="AN51" s="26"/>
      <c r="AO51" s="43">
        <f t="shared" si="15"/>
        <v>0</v>
      </c>
      <c r="AP51" s="26"/>
      <c r="AQ51" s="1">
        <f t="shared" si="16"/>
        <v>0</v>
      </c>
      <c r="AR51" s="1">
        <f t="shared" si="17"/>
      </c>
      <c r="AS51" s="1">
        <f t="shared" si="18"/>
      </c>
      <c r="AT51" s="1" t="s">
        <v>187</v>
      </c>
      <c r="AU51" s="3">
        <v>2345125</v>
      </c>
      <c r="AY51" s="197"/>
      <c r="AZ51" s="197"/>
      <c r="BA51" s="197"/>
    </row>
    <row r="52" spans="1:53" ht="13.5">
      <c r="A52" s="99">
        <f t="shared" si="4"/>
        <v>0</v>
      </c>
      <c r="B52" s="97">
        <f t="shared" si="5"/>
        <v>0</v>
      </c>
      <c r="C52" s="129"/>
      <c r="D52" s="79">
        <f>'登録DATA'!E48</f>
        <v>0</v>
      </c>
      <c r="E52" s="180"/>
      <c r="F52" s="160">
        <f>'登録DATA'!G48</f>
        <v>0</v>
      </c>
      <c r="G52" s="160">
        <f>'登録DATA'!H48</f>
        <v>0</v>
      </c>
      <c r="H52" s="156">
        <f t="shared" si="6"/>
        <v>0</v>
      </c>
      <c r="I52" s="161">
        <f>'登録DATA'!J48</f>
        <v>0</v>
      </c>
      <c r="J52" s="155" t="b">
        <f t="shared" si="7"/>
        <v>0</v>
      </c>
      <c r="K52" s="162">
        <f>'登録DATA'!I48</f>
        <v>0</v>
      </c>
      <c r="L52" s="50"/>
      <c r="M52" s="50"/>
      <c r="N52" s="55"/>
      <c r="O52" s="83"/>
      <c r="P52" s="51">
        <f>IF(O52="","",IF(J52=1,VLOOKUP(O52,'男子種目コード'!$A$1:$B$15,2,FALSE),IF(J52=2,VLOOKUP(O52,'女子種目コード'!$A$1:$B$14,2,FALSE))))</f>
      </c>
      <c r="Q52" s="67"/>
      <c r="R52" s="184"/>
      <c r="S52" s="184"/>
      <c r="T52" s="83"/>
      <c r="U52" s="51">
        <f>IF(T52="","",IF(J52=1,VLOOKUP(T52,'男子種目コード'!$A$1:$B$15,2,FALSE),IF(J52=2,VLOOKUP(T52,'女子種目コード'!$A$1:$B$14,2,FALSE))))</f>
      </c>
      <c r="V52" s="73"/>
      <c r="W52" s="184"/>
      <c r="X52" s="184"/>
      <c r="Y52" s="75"/>
      <c r="Z52" s="21">
        <f>IF(Y52="","",IF(J52=1,VLOOKUP(Y52,'男子種目コード'!$A$1:$B$13,2,FALSE),IF(J52=2,VLOOKUP(Y52,'女子種目コード'!$A$1:$B$10,2,FALSE))))</f>
      </c>
      <c r="AA52" s="12"/>
      <c r="AB52" s="188"/>
      <c r="AC52" s="188"/>
      <c r="AD52" s="3"/>
      <c r="AE52" s="1">
        <f t="shared" si="8"/>
      </c>
      <c r="AF52" s="1">
        <f t="shared" si="9"/>
      </c>
      <c r="AG52" s="259">
        <f aca="true" t="shared" si="21" ref="AG52:AG57">IF(ISERROR(AV52),"",AV52)</f>
      </c>
      <c r="AH52" s="260"/>
      <c r="AI52" s="26"/>
      <c r="AJ52" s="26"/>
      <c r="AK52" s="26"/>
      <c r="AL52" s="26"/>
      <c r="AM52" s="26"/>
      <c r="AN52" s="26"/>
      <c r="AO52" s="43">
        <f t="shared" si="15"/>
        <v>0</v>
      </c>
      <c r="AP52" s="26"/>
      <c r="AQ52" s="1">
        <f t="shared" si="16"/>
        <v>0</v>
      </c>
      <c r="AR52" s="1">
        <f t="shared" si="17"/>
      </c>
      <c r="AS52" s="1">
        <f t="shared" si="18"/>
      </c>
      <c r="AT52" s="1" t="s">
        <v>188</v>
      </c>
      <c r="AU52" s="3">
        <v>2345126</v>
      </c>
      <c r="AV52" s="57" t="e">
        <f>VLOOKUPX("男子C",$A$7:$G$116,1,6)</f>
        <v>#N/A</v>
      </c>
      <c r="AY52" s="197"/>
      <c r="AZ52" s="197"/>
      <c r="BA52" s="197"/>
    </row>
    <row r="53" spans="1:53" ht="13.5">
      <c r="A53" s="99">
        <f t="shared" si="4"/>
        <v>0</v>
      </c>
      <c r="B53" s="97">
        <f t="shared" si="5"/>
        <v>0</v>
      </c>
      <c r="C53" s="129"/>
      <c r="D53" s="79">
        <f>'登録DATA'!E49</f>
        <v>0</v>
      </c>
      <c r="E53" s="180"/>
      <c r="F53" s="160">
        <f>'登録DATA'!G49</f>
        <v>0</v>
      </c>
      <c r="G53" s="160">
        <f>'登録DATA'!H49</f>
        <v>0</v>
      </c>
      <c r="H53" s="156">
        <f t="shared" si="6"/>
        <v>0</v>
      </c>
      <c r="I53" s="161">
        <f>'登録DATA'!J49</f>
        <v>0</v>
      </c>
      <c r="J53" s="155" t="b">
        <f t="shared" si="7"/>
        <v>0</v>
      </c>
      <c r="K53" s="162">
        <f>'登録DATA'!I49</f>
        <v>0</v>
      </c>
      <c r="L53" s="50"/>
      <c r="M53" s="50"/>
      <c r="N53" s="55"/>
      <c r="O53" s="83"/>
      <c r="P53" s="51">
        <f>IF(O53="","",IF(J53=1,VLOOKUP(O53,'男子種目コード'!$A$1:$B$15,2,FALSE),IF(J53=2,VLOOKUP(O53,'女子種目コード'!$A$1:$B$14,2,FALSE))))</f>
      </c>
      <c r="Q53" s="67"/>
      <c r="R53" s="184"/>
      <c r="S53" s="184"/>
      <c r="T53" s="83"/>
      <c r="U53" s="51">
        <f>IF(T53="","",IF(J53=1,VLOOKUP(T53,'男子種目コード'!$A$1:$B$15,2,FALSE),IF(J53=2,VLOOKUP(T53,'女子種目コード'!$A$1:$B$14,2,FALSE))))</f>
      </c>
      <c r="V53" s="73"/>
      <c r="W53" s="184"/>
      <c r="X53" s="184"/>
      <c r="Y53" s="75"/>
      <c r="Z53" s="21">
        <f>IF(Y53="","",IF(J53=1,VLOOKUP(Y53,'男子種目コード'!$A$1:$B$13,2,FALSE),IF(J53=2,VLOOKUP(Y53,'女子種目コード'!$A$1:$B$10,2,FALSE))))</f>
      </c>
      <c r="AA53" s="12"/>
      <c r="AB53" s="188"/>
      <c r="AC53" s="188"/>
      <c r="AD53" s="3"/>
      <c r="AE53" s="1">
        <f t="shared" si="8"/>
      </c>
      <c r="AF53" s="1">
        <f t="shared" si="9"/>
      </c>
      <c r="AG53" s="259">
        <f t="shared" si="21"/>
      </c>
      <c r="AH53" s="260"/>
      <c r="AI53" s="26"/>
      <c r="AJ53" s="26"/>
      <c r="AK53" s="26"/>
      <c r="AL53" s="26"/>
      <c r="AM53" s="26"/>
      <c r="AN53" s="26"/>
      <c r="AO53" s="43">
        <f t="shared" si="15"/>
        <v>0</v>
      </c>
      <c r="AP53" s="26"/>
      <c r="AQ53" s="1">
        <f t="shared" si="16"/>
        <v>0</v>
      </c>
      <c r="AR53" s="1">
        <f t="shared" si="17"/>
      </c>
      <c r="AS53" s="1">
        <f t="shared" si="18"/>
      </c>
      <c r="AT53" s="1" t="s">
        <v>189</v>
      </c>
      <c r="AU53" s="3">
        <v>2345127</v>
      </c>
      <c r="AV53" s="57" t="e">
        <f>VLOOKUPX("男子C",$A$7:$G$116,2,6)</f>
        <v>#N/A</v>
      </c>
      <c r="AY53" s="197"/>
      <c r="AZ53" s="197"/>
      <c r="BA53" s="197"/>
    </row>
    <row r="54" spans="1:53" ht="13.5">
      <c r="A54" s="99">
        <f t="shared" si="4"/>
        <v>0</v>
      </c>
      <c r="B54" s="97">
        <f t="shared" si="5"/>
        <v>0</v>
      </c>
      <c r="C54" s="129"/>
      <c r="D54" s="79">
        <f>'登録DATA'!E50</f>
        <v>0</v>
      </c>
      <c r="E54" s="180"/>
      <c r="F54" s="160">
        <f>'登録DATA'!G50</f>
        <v>0</v>
      </c>
      <c r="G54" s="160">
        <f>'登録DATA'!H50</f>
        <v>0</v>
      </c>
      <c r="H54" s="156">
        <f t="shared" si="6"/>
        <v>0</v>
      </c>
      <c r="I54" s="161">
        <f>'登録DATA'!J50</f>
        <v>0</v>
      </c>
      <c r="J54" s="155" t="b">
        <f t="shared" si="7"/>
        <v>0</v>
      </c>
      <c r="K54" s="162">
        <f>'登録DATA'!I50</f>
        <v>0</v>
      </c>
      <c r="L54" s="50"/>
      <c r="M54" s="50"/>
      <c r="N54" s="55"/>
      <c r="O54" s="83"/>
      <c r="P54" s="51">
        <f>IF(O54="","",IF(J54=1,VLOOKUP(O54,'男子種目コード'!$A$1:$B$15,2,FALSE),IF(J54=2,VLOOKUP(O54,'女子種目コード'!$A$1:$B$14,2,FALSE))))</f>
      </c>
      <c r="Q54" s="67"/>
      <c r="R54" s="184"/>
      <c r="S54" s="184"/>
      <c r="T54" s="83"/>
      <c r="U54" s="51">
        <f>IF(T54="","",IF(J54=1,VLOOKUP(T54,'男子種目コード'!$A$1:$B$15,2,FALSE),IF(J54=2,VLOOKUP(T54,'女子種目コード'!$A$1:$B$14,2,FALSE))))</f>
      </c>
      <c r="V54" s="73"/>
      <c r="W54" s="184"/>
      <c r="X54" s="184"/>
      <c r="Y54" s="75"/>
      <c r="Z54" s="21">
        <f>IF(Y54="","",IF(J54=1,VLOOKUP(Y54,'男子種目コード'!$A$1:$B$13,2,FALSE),IF(J54=2,VLOOKUP(Y54,'女子種目コード'!$A$1:$B$10,2,FALSE))))</f>
      </c>
      <c r="AA54" s="12"/>
      <c r="AB54" s="188"/>
      <c r="AC54" s="188"/>
      <c r="AD54" s="3"/>
      <c r="AE54" s="1">
        <f t="shared" si="8"/>
      </c>
      <c r="AF54" s="1">
        <f t="shared" si="9"/>
      </c>
      <c r="AG54" s="259">
        <f t="shared" si="21"/>
      </c>
      <c r="AH54" s="260"/>
      <c r="AI54" s="26"/>
      <c r="AJ54" s="26"/>
      <c r="AK54" s="26"/>
      <c r="AL54" s="26"/>
      <c r="AM54" s="26"/>
      <c r="AN54" s="26"/>
      <c r="AO54" s="43">
        <f t="shared" si="15"/>
        <v>0</v>
      </c>
      <c r="AP54" s="26"/>
      <c r="AQ54" s="1">
        <f t="shared" si="16"/>
        <v>0</v>
      </c>
      <c r="AR54" s="1">
        <f t="shared" si="17"/>
      </c>
      <c r="AS54" s="1">
        <f t="shared" si="18"/>
      </c>
      <c r="AT54" s="1" t="s">
        <v>190</v>
      </c>
      <c r="AU54" s="3">
        <v>2345128</v>
      </c>
      <c r="AV54" s="57" t="e">
        <f>VLOOKUPX("男子C",$A$7:$G$116,3,6)</f>
        <v>#N/A</v>
      </c>
      <c r="AY54" s="197"/>
      <c r="AZ54" s="197"/>
      <c r="BA54" s="197"/>
    </row>
    <row r="55" spans="1:53" ht="13.5">
      <c r="A55" s="99">
        <f t="shared" si="4"/>
        <v>0</v>
      </c>
      <c r="B55" s="97">
        <f t="shared" si="5"/>
        <v>0</v>
      </c>
      <c r="C55" s="129"/>
      <c r="D55" s="79">
        <f>'登録DATA'!E51</f>
        <v>0</v>
      </c>
      <c r="E55" s="180"/>
      <c r="F55" s="160">
        <f>'登録DATA'!G51</f>
        <v>0</v>
      </c>
      <c r="G55" s="160">
        <f>'登録DATA'!H51</f>
        <v>0</v>
      </c>
      <c r="H55" s="156">
        <f t="shared" si="6"/>
        <v>0</v>
      </c>
      <c r="I55" s="161">
        <f>'登録DATA'!J51</f>
        <v>0</v>
      </c>
      <c r="J55" s="155" t="b">
        <f t="shared" si="7"/>
        <v>0</v>
      </c>
      <c r="K55" s="162">
        <f>'登録DATA'!I51</f>
        <v>0</v>
      </c>
      <c r="L55" s="50"/>
      <c r="M55" s="50"/>
      <c r="N55" s="55"/>
      <c r="O55" s="83"/>
      <c r="P55" s="51">
        <f>IF(O55="","",IF(J55=1,VLOOKUP(O55,'男子種目コード'!$A$1:$B$15,2,FALSE),IF(J55=2,VLOOKUP(O55,'女子種目コード'!$A$1:$B$14,2,FALSE))))</f>
      </c>
      <c r="Q55" s="67"/>
      <c r="R55" s="184"/>
      <c r="S55" s="184"/>
      <c r="T55" s="83"/>
      <c r="U55" s="51">
        <f>IF(T55="","",IF(J55=1,VLOOKUP(T55,'男子種目コード'!$A$1:$B$15,2,FALSE),IF(J55=2,VLOOKUP(T55,'女子種目コード'!$A$1:$B$14,2,FALSE))))</f>
      </c>
      <c r="V55" s="73"/>
      <c r="W55" s="184"/>
      <c r="X55" s="184"/>
      <c r="Y55" s="75"/>
      <c r="Z55" s="21">
        <f>IF(Y55="","",IF(J55=1,VLOOKUP(Y55,'男子種目コード'!$A$1:$B$13,2,FALSE),IF(J55=2,VLOOKUP(Y55,'女子種目コード'!$A$1:$B$10,2,FALSE))))</f>
      </c>
      <c r="AA55" s="12"/>
      <c r="AB55" s="188"/>
      <c r="AC55" s="188"/>
      <c r="AD55" s="3"/>
      <c r="AE55" s="1">
        <f t="shared" si="8"/>
      </c>
      <c r="AF55" s="1">
        <f t="shared" si="9"/>
      </c>
      <c r="AG55" s="259">
        <f t="shared" si="21"/>
      </c>
      <c r="AH55" s="260"/>
      <c r="AI55" s="26"/>
      <c r="AJ55" s="26"/>
      <c r="AK55" s="26"/>
      <c r="AL55" s="26"/>
      <c r="AM55" s="26"/>
      <c r="AN55" s="26"/>
      <c r="AO55" s="43">
        <f t="shared" si="15"/>
        <v>0</v>
      </c>
      <c r="AP55" s="26"/>
      <c r="AQ55" s="1">
        <f t="shared" si="16"/>
        <v>0</v>
      </c>
      <c r="AR55" s="1">
        <f t="shared" si="17"/>
      </c>
      <c r="AS55" s="1">
        <f t="shared" si="18"/>
      </c>
      <c r="AT55" s="1" t="s">
        <v>191</v>
      </c>
      <c r="AU55" s="3">
        <v>2345129</v>
      </c>
      <c r="AV55" s="57" t="e">
        <f>VLOOKUPX("男子C",$A$7:$G$116,4,6)</f>
        <v>#N/A</v>
      </c>
      <c r="AY55" s="197"/>
      <c r="AZ55" s="197"/>
      <c r="BA55" s="197"/>
    </row>
    <row r="56" spans="1:53" ht="13.5">
      <c r="A56" s="99">
        <f t="shared" si="4"/>
        <v>0</v>
      </c>
      <c r="B56" s="97">
        <f t="shared" si="5"/>
        <v>0</v>
      </c>
      <c r="C56" s="129"/>
      <c r="D56" s="79">
        <f>'登録DATA'!E52</f>
        <v>0</v>
      </c>
      <c r="E56" s="180"/>
      <c r="F56" s="160">
        <f>'登録DATA'!G52</f>
        <v>0</v>
      </c>
      <c r="G56" s="160">
        <f>'登録DATA'!H52</f>
        <v>0</v>
      </c>
      <c r="H56" s="156">
        <f t="shared" si="6"/>
        <v>0</v>
      </c>
      <c r="I56" s="161">
        <f>'登録DATA'!J52</f>
        <v>0</v>
      </c>
      <c r="J56" s="155" t="b">
        <f t="shared" si="7"/>
        <v>0</v>
      </c>
      <c r="K56" s="162">
        <f>'登録DATA'!I52</f>
        <v>0</v>
      </c>
      <c r="L56" s="50"/>
      <c r="M56" s="50"/>
      <c r="N56" s="55"/>
      <c r="O56" s="83"/>
      <c r="P56" s="51">
        <f>IF(O56="","",IF(J56=1,VLOOKUP(O56,'男子種目コード'!$A$1:$B$15,2,FALSE),IF(J56=2,VLOOKUP(O56,'女子種目コード'!$A$1:$B$14,2,FALSE))))</f>
      </c>
      <c r="Q56" s="67"/>
      <c r="R56" s="184"/>
      <c r="S56" s="184"/>
      <c r="T56" s="83"/>
      <c r="U56" s="51">
        <f>IF(T56="","",IF(J56=1,VLOOKUP(T56,'男子種目コード'!$A$1:$B$15,2,FALSE),IF(J56=2,VLOOKUP(T56,'女子種目コード'!$A$1:$B$14,2,FALSE))))</f>
      </c>
      <c r="V56" s="73"/>
      <c r="W56" s="184"/>
      <c r="X56" s="184"/>
      <c r="Y56" s="75"/>
      <c r="Z56" s="21">
        <f>IF(Y56="","",IF(J56=1,VLOOKUP(Y56,'男子種目コード'!$A$1:$B$13,2,FALSE),IF(J56=2,VLOOKUP(Y56,'女子種目コード'!$A$1:$B$10,2,FALSE))))</f>
      </c>
      <c r="AA56" s="12"/>
      <c r="AB56" s="188"/>
      <c r="AC56" s="188"/>
      <c r="AD56" s="3"/>
      <c r="AE56" s="1">
        <f t="shared" si="8"/>
      </c>
      <c r="AF56" s="1">
        <f t="shared" si="9"/>
      </c>
      <c r="AG56" s="259">
        <f t="shared" si="21"/>
      </c>
      <c r="AH56" s="260"/>
      <c r="AI56" s="26"/>
      <c r="AJ56" s="26"/>
      <c r="AK56" s="26"/>
      <c r="AL56" s="26"/>
      <c r="AM56" s="26"/>
      <c r="AN56" s="26"/>
      <c r="AO56" s="43">
        <f t="shared" si="15"/>
        <v>0</v>
      </c>
      <c r="AP56" s="26"/>
      <c r="AQ56" s="1">
        <f t="shared" si="16"/>
        <v>0</v>
      </c>
      <c r="AR56" s="1">
        <f t="shared" si="17"/>
      </c>
      <c r="AS56" s="1">
        <f t="shared" si="18"/>
      </c>
      <c r="AT56" s="1" t="s">
        <v>192</v>
      </c>
      <c r="AU56" s="3">
        <v>2345130</v>
      </c>
      <c r="AV56" s="57" t="e">
        <f>VLOOKUPX("男子C",$A$7:$G$116,5,6)</f>
        <v>#N/A</v>
      </c>
      <c r="AY56" s="197"/>
      <c r="AZ56" s="197"/>
      <c r="BA56" s="197"/>
    </row>
    <row r="57" spans="1:53" ht="14.25" thickBot="1">
      <c r="A57" s="99">
        <f t="shared" si="4"/>
        <v>0</v>
      </c>
      <c r="B57" s="97">
        <f t="shared" si="5"/>
        <v>0</v>
      </c>
      <c r="C57" s="129"/>
      <c r="D57" s="79">
        <f>'登録DATA'!E53</f>
        <v>0</v>
      </c>
      <c r="E57" s="180"/>
      <c r="F57" s="160">
        <f>'登録DATA'!G53</f>
        <v>0</v>
      </c>
      <c r="G57" s="160">
        <f>'登録DATA'!H53</f>
        <v>0</v>
      </c>
      <c r="H57" s="156">
        <f t="shared" si="6"/>
        <v>0</v>
      </c>
      <c r="I57" s="161">
        <f>'登録DATA'!J53</f>
        <v>0</v>
      </c>
      <c r="J57" s="155" t="b">
        <f t="shared" si="7"/>
        <v>0</v>
      </c>
      <c r="K57" s="162">
        <f>'登録DATA'!I53</f>
        <v>0</v>
      </c>
      <c r="L57" s="50"/>
      <c r="M57" s="50"/>
      <c r="N57" s="55"/>
      <c r="O57" s="83"/>
      <c r="P57" s="51">
        <f>IF(O57="","",IF(J57=1,VLOOKUP(O57,'男子種目コード'!$A$1:$B$15,2,FALSE),IF(J57=2,VLOOKUP(O57,'女子種目コード'!$A$1:$B$14,2,FALSE))))</f>
      </c>
      <c r="Q57" s="67"/>
      <c r="R57" s="184"/>
      <c r="S57" s="184"/>
      <c r="T57" s="83"/>
      <c r="U57" s="51">
        <f>IF(T57="","",IF(J57=1,VLOOKUP(T57,'男子種目コード'!$A$1:$B$15,2,FALSE),IF(J57=2,VLOOKUP(T57,'女子種目コード'!$A$1:$B$14,2,FALSE))))</f>
      </c>
      <c r="V57" s="73"/>
      <c r="W57" s="184"/>
      <c r="X57" s="184"/>
      <c r="Y57" s="75"/>
      <c r="Z57" s="21">
        <f>IF(Y57="","",IF(J57=1,VLOOKUP(Y57,'男子種目コード'!$A$1:$B$13,2,FALSE),IF(J57=2,VLOOKUP(Y57,'女子種目コード'!$A$1:$B$10,2,FALSE))))</f>
      </c>
      <c r="AA57" s="12"/>
      <c r="AB57" s="188"/>
      <c r="AC57" s="188"/>
      <c r="AD57" s="3"/>
      <c r="AE57" s="1">
        <f t="shared" si="8"/>
      </c>
      <c r="AF57" s="1">
        <f t="shared" si="9"/>
      </c>
      <c r="AG57" s="249">
        <f t="shared" si="21"/>
      </c>
      <c r="AH57" s="250"/>
      <c r="AI57" s="26"/>
      <c r="AJ57" s="26"/>
      <c r="AK57" s="26"/>
      <c r="AL57" s="26"/>
      <c r="AM57" s="26"/>
      <c r="AN57" s="26"/>
      <c r="AO57" s="43">
        <f t="shared" si="15"/>
        <v>0</v>
      </c>
      <c r="AP57" s="26"/>
      <c r="AQ57" s="1">
        <f t="shared" si="16"/>
        <v>0</v>
      </c>
      <c r="AR57" s="1">
        <f t="shared" si="17"/>
      </c>
      <c r="AS57" s="1">
        <f t="shared" si="18"/>
      </c>
      <c r="AT57" s="1" t="s">
        <v>193</v>
      </c>
      <c r="AU57" s="3">
        <v>2345131</v>
      </c>
      <c r="AV57" s="57" t="e">
        <f>VLOOKUPX("男子C",$A$7:$G$116,6,6)</f>
        <v>#N/A</v>
      </c>
      <c r="AY57" s="197"/>
      <c r="AZ57" s="197"/>
      <c r="BA57" s="197"/>
    </row>
    <row r="58" spans="1:53" ht="13.5">
      <c r="A58" s="99">
        <f t="shared" si="4"/>
        <v>0</v>
      </c>
      <c r="B58" s="97">
        <f t="shared" si="5"/>
        <v>0</v>
      </c>
      <c r="C58" s="129"/>
      <c r="D58" s="79">
        <f>'登録DATA'!E54</f>
        <v>0</v>
      </c>
      <c r="E58" s="180"/>
      <c r="F58" s="160">
        <f>'登録DATA'!G54</f>
        <v>0</v>
      </c>
      <c r="G58" s="160">
        <f>'登録DATA'!H54</f>
        <v>0</v>
      </c>
      <c r="H58" s="156">
        <f t="shared" si="6"/>
        <v>0</v>
      </c>
      <c r="I58" s="161">
        <f>'登録DATA'!J54</f>
        <v>0</v>
      </c>
      <c r="J58" s="155" t="b">
        <f t="shared" si="7"/>
        <v>0</v>
      </c>
      <c r="K58" s="162">
        <f>'登録DATA'!I54</f>
        <v>0</v>
      </c>
      <c r="L58" s="50"/>
      <c r="M58" s="50"/>
      <c r="N58" s="55"/>
      <c r="O58" s="83"/>
      <c r="P58" s="51">
        <f>IF(O58="","",IF(J58=1,VLOOKUP(O58,'男子種目コード'!$A$1:$B$15,2,FALSE),IF(J58=2,VLOOKUP(O58,'女子種目コード'!$A$1:$B$14,2,FALSE))))</f>
      </c>
      <c r="Q58" s="67"/>
      <c r="R58" s="184"/>
      <c r="S58" s="184"/>
      <c r="T58" s="83"/>
      <c r="U58" s="51">
        <f>IF(T58="","",IF(J58=1,VLOOKUP(T58,'男子種目コード'!$A$1:$B$15,2,FALSE),IF(J58=2,VLOOKUP(T58,'女子種目コード'!$A$1:$B$14,2,FALSE))))</f>
      </c>
      <c r="V58" s="73"/>
      <c r="W58" s="184"/>
      <c r="X58" s="184"/>
      <c r="Y58" s="75"/>
      <c r="Z58" s="21">
        <f>IF(Y58="","",IF(J58=1,VLOOKUP(Y58,'男子種目コード'!$A$1:$B$13,2,FALSE),IF(J58=2,VLOOKUP(Y58,'女子種目コード'!$A$1:$B$10,2,FALSE))))</f>
      </c>
      <c r="AA58" s="12"/>
      <c r="AB58" s="188"/>
      <c r="AC58" s="188"/>
      <c r="AD58" s="3"/>
      <c r="AE58" s="1">
        <f t="shared" si="8"/>
      </c>
      <c r="AF58" s="1">
        <f t="shared" si="9"/>
      </c>
      <c r="AG58" s="251" t="s">
        <v>30</v>
      </c>
      <c r="AH58" s="252"/>
      <c r="AI58" s="262" t="s">
        <v>31</v>
      </c>
      <c r="AJ58" s="263"/>
      <c r="AK58" s="26"/>
      <c r="AL58" s="26"/>
      <c r="AM58" s="26"/>
      <c r="AN58" s="26"/>
      <c r="AO58" s="43">
        <f t="shared" si="15"/>
        <v>0</v>
      </c>
      <c r="AP58" s="26"/>
      <c r="AQ58" s="1">
        <f t="shared" si="16"/>
        <v>0</v>
      </c>
      <c r="AR58" s="1">
        <f t="shared" si="17"/>
      </c>
      <c r="AS58" s="1">
        <f t="shared" si="18"/>
      </c>
      <c r="AT58" s="1" t="s">
        <v>194</v>
      </c>
      <c r="AU58" s="3">
        <v>2345132</v>
      </c>
      <c r="AY58" s="197"/>
      <c r="AZ58" s="197"/>
      <c r="BA58" s="197"/>
    </row>
    <row r="59" spans="1:53" ht="13.5">
      <c r="A59" s="99">
        <f t="shared" si="4"/>
        <v>0</v>
      </c>
      <c r="B59" s="97">
        <f t="shared" si="5"/>
        <v>0</v>
      </c>
      <c r="C59" s="129"/>
      <c r="D59" s="79">
        <f>'登録DATA'!E55</f>
        <v>0</v>
      </c>
      <c r="E59" s="180"/>
      <c r="F59" s="160">
        <f>'登録DATA'!G55</f>
        <v>0</v>
      </c>
      <c r="G59" s="160">
        <f>'登録DATA'!H55</f>
        <v>0</v>
      </c>
      <c r="H59" s="156">
        <f t="shared" si="6"/>
        <v>0</v>
      </c>
      <c r="I59" s="161">
        <f>'登録DATA'!J55</f>
        <v>0</v>
      </c>
      <c r="J59" s="155" t="b">
        <f t="shared" si="7"/>
        <v>0</v>
      </c>
      <c r="K59" s="162">
        <f>'登録DATA'!I55</f>
        <v>0</v>
      </c>
      <c r="L59" s="50"/>
      <c r="M59" s="50"/>
      <c r="N59" s="55"/>
      <c r="O59" s="83"/>
      <c r="P59" s="51">
        <f>IF(O59="","",IF(J59=1,VLOOKUP(O59,'男子種目コード'!$A$1:$B$15,2,FALSE),IF(J59=2,VLOOKUP(O59,'女子種目コード'!$A$1:$B$14,2,FALSE))))</f>
      </c>
      <c r="Q59" s="67"/>
      <c r="R59" s="184"/>
      <c r="S59" s="184"/>
      <c r="T59" s="83"/>
      <c r="U59" s="51">
        <f>IF(T59="","",IF(J59=1,VLOOKUP(T59,'男子種目コード'!$A$1:$B$15,2,FALSE),IF(J59=2,VLOOKUP(T59,'女子種目コード'!$A$1:$B$14,2,FALSE))))</f>
      </c>
      <c r="V59" s="73"/>
      <c r="W59" s="184"/>
      <c r="X59" s="184"/>
      <c r="Y59" s="75"/>
      <c r="Z59" s="21">
        <f>IF(Y59="","",IF(J59=1,VLOOKUP(Y59,'男子種目コード'!$A$1:$B$13,2,FALSE),IF(J59=2,VLOOKUP(Y59,'女子種目コード'!$A$1:$B$10,2,FALSE))))</f>
      </c>
      <c r="AA59" s="12"/>
      <c r="AB59" s="188"/>
      <c r="AC59" s="188"/>
      <c r="AD59" s="3"/>
      <c r="AE59" s="1">
        <f t="shared" si="8"/>
      </c>
      <c r="AF59" s="1">
        <f t="shared" si="9"/>
      </c>
      <c r="AG59" s="237">
        <f aca="true" t="shared" si="22" ref="AG59:AG64">IF(ISERROR(AV59),"",AV59)</f>
      </c>
      <c r="AH59" s="231"/>
      <c r="AI59" s="231">
        <f aca="true" t="shared" si="23" ref="AI59:AI64">IF(ISERROR(AW59),"",AW59)</f>
      </c>
      <c r="AJ59" s="232"/>
      <c r="AK59" s="26"/>
      <c r="AL59" s="26"/>
      <c r="AM59" s="26"/>
      <c r="AN59" s="26"/>
      <c r="AO59" s="43">
        <f t="shared" si="15"/>
        <v>0</v>
      </c>
      <c r="AP59" s="26"/>
      <c r="AQ59" s="1">
        <f t="shared" si="16"/>
        <v>0</v>
      </c>
      <c r="AR59" s="1">
        <f t="shared" si="17"/>
      </c>
      <c r="AS59" s="1">
        <f t="shared" si="18"/>
      </c>
      <c r="AT59" s="1" t="s">
        <v>195</v>
      </c>
      <c r="AU59" s="3">
        <v>2345133</v>
      </c>
      <c r="AV59" s="57" t="e">
        <f>VLOOKUPX("女子A",$A$7:$G$116,1,6)</f>
        <v>#N/A</v>
      </c>
      <c r="AW59" s="57" t="e">
        <f>VLOOKUPX("女子B",$A$7:$G$116,1,6)</f>
        <v>#N/A</v>
      </c>
      <c r="AY59" s="197"/>
      <c r="AZ59" s="197"/>
      <c r="BA59" s="197"/>
    </row>
    <row r="60" spans="1:53" ht="13.5">
      <c r="A60" s="99">
        <f t="shared" si="4"/>
        <v>0</v>
      </c>
      <c r="B60" s="97">
        <f t="shared" si="5"/>
        <v>0</v>
      </c>
      <c r="C60" s="129"/>
      <c r="D60" s="79">
        <f>'登録DATA'!E56</f>
        <v>0</v>
      </c>
      <c r="E60" s="180"/>
      <c r="F60" s="160">
        <f>'登録DATA'!G56</f>
        <v>0</v>
      </c>
      <c r="G60" s="160">
        <f>'登録DATA'!H56</f>
        <v>0</v>
      </c>
      <c r="H60" s="156">
        <f t="shared" si="6"/>
        <v>0</v>
      </c>
      <c r="I60" s="161">
        <f>'登録DATA'!J56</f>
        <v>0</v>
      </c>
      <c r="J60" s="155" t="b">
        <f t="shared" si="7"/>
        <v>0</v>
      </c>
      <c r="K60" s="162">
        <f>'登録DATA'!I56</f>
        <v>0</v>
      </c>
      <c r="L60" s="50"/>
      <c r="M60" s="50"/>
      <c r="N60" s="55"/>
      <c r="O60" s="83"/>
      <c r="P60" s="51">
        <f>IF(O60="","",IF(J60=1,VLOOKUP(O60,'男子種目コード'!$A$1:$B$15,2,FALSE),IF(J60=2,VLOOKUP(O60,'女子種目コード'!$A$1:$B$14,2,FALSE))))</f>
      </c>
      <c r="Q60" s="67"/>
      <c r="R60" s="184"/>
      <c r="S60" s="184"/>
      <c r="T60" s="83"/>
      <c r="U60" s="51">
        <f>IF(T60="","",IF(J60=1,VLOOKUP(T60,'男子種目コード'!$A$1:$B$15,2,FALSE),IF(J60=2,VLOOKUP(T60,'女子種目コード'!$A$1:$B$14,2,FALSE))))</f>
      </c>
      <c r="V60" s="73"/>
      <c r="W60" s="184"/>
      <c r="X60" s="184"/>
      <c r="Y60" s="75"/>
      <c r="Z60" s="21">
        <f>IF(Y60="","",IF(J60=1,VLOOKUP(Y60,'男子種目コード'!$A$1:$B$13,2,FALSE),IF(J60=2,VLOOKUP(Y60,'女子種目コード'!$A$1:$B$10,2,FALSE))))</f>
      </c>
      <c r="AA60" s="12"/>
      <c r="AB60" s="188"/>
      <c r="AC60" s="188"/>
      <c r="AD60" s="3"/>
      <c r="AE60" s="1">
        <f t="shared" si="8"/>
      </c>
      <c r="AF60" s="1">
        <f t="shared" si="9"/>
      </c>
      <c r="AG60" s="237">
        <f t="shared" si="22"/>
      </c>
      <c r="AH60" s="231"/>
      <c r="AI60" s="231">
        <f t="shared" si="23"/>
      </c>
      <c r="AJ60" s="232"/>
      <c r="AK60" s="26"/>
      <c r="AL60" s="26"/>
      <c r="AM60" s="26"/>
      <c r="AN60" s="26"/>
      <c r="AO60" s="43">
        <f t="shared" si="15"/>
        <v>0</v>
      </c>
      <c r="AP60" s="26"/>
      <c r="AQ60" s="1">
        <f t="shared" si="16"/>
        <v>0</v>
      </c>
      <c r="AR60" s="1">
        <f t="shared" si="17"/>
      </c>
      <c r="AS60" s="1">
        <f t="shared" si="18"/>
      </c>
      <c r="AT60" s="1" t="s">
        <v>196</v>
      </c>
      <c r="AU60" s="3">
        <v>2345134</v>
      </c>
      <c r="AV60" s="57" t="e">
        <f>VLOOKUPX("女子A",$A$7:$G$116,2,6)</f>
        <v>#N/A</v>
      </c>
      <c r="AW60" s="57" t="e">
        <f>VLOOKUPX("女子B",$A$7:$G$116,2,6)</f>
        <v>#N/A</v>
      </c>
      <c r="AY60" s="197"/>
      <c r="AZ60" s="197"/>
      <c r="BA60" s="197"/>
    </row>
    <row r="61" spans="1:53" ht="13.5">
      <c r="A61" s="99">
        <f t="shared" si="4"/>
        <v>0</v>
      </c>
      <c r="B61" s="97">
        <f t="shared" si="5"/>
        <v>0</v>
      </c>
      <c r="C61" s="129"/>
      <c r="D61" s="79">
        <f>'登録DATA'!E57</f>
        <v>0</v>
      </c>
      <c r="E61" s="180"/>
      <c r="F61" s="160">
        <f>'登録DATA'!G57</f>
        <v>0</v>
      </c>
      <c r="G61" s="160">
        <f>'登録DATA'!H57</f>
        <v>0</v>
      </c>
      <c r="H61" s="156">
        <f t="shared" si="6"/>
        <v>0</v>
      </c>
      <c r="I61" s="161">
        <f>'登録DATA'!J57</f>
        <v>0</v>
      </c>
      <c r="J61" s="155" t="b">
        <f t="shared" si="7"/>
        <v>0</v>
      </c>
      <c r="K61" s="162">
        <f>'登録DATA'!I57</f>
        <v>0</v>
      </c>
      <c r="L61" s="50"/>
      <c r="M61" s="50"/>
      <c r="N61" s="55"/>
      <c r="O61" s="83"/>
      <c r="P61" s="51">
        <f>IF(O61="","",IF(J61=1,VLOOKUP(O61,'男子種目コード'!$A$1:$B$15,2,FALSE),IF(J61=2,VLOOKUP(O61,'女子種目コード'!$A$1:$B$14,2,FALSE))))</f>
      </c>
      <c r="Q61" s="67"/>
      <c r="R61" s="184"/>
      <c r="S61" s="184"/>
      <c r="T61" s="83"/>
      <c r="U61" s="51">
        <f>IF(T61="","",IF(J61=1,VLOOKUP(T61,'男子種目コード'!$A$1:$B$15,2,FALSE),IF(J61=2,VLOOKUP(T61,'女子種目コード'!$A$1:$B$14,2,FALSE))))</f>
      </c>
      <c r="V61" s="73"/>
      <c r="W61" s="184"/>
      <c r="X61" s="184"/>
      <c r="Y61" s="75"/>
      <c r="Z61" s="21">
        <f>IF(Y61="","",IF(J61=1,VLOOKUP(Y61,'男子種目コード'!$A$1:$B$13,2,FALSE),IF(J61=2,VLOOKUP(Y61,'女子種目コード'!$A$1:$B$10,2,FALSE))))</f>
      </c>
      <c r="AA61" s="12"/>
      <c r="AB61" s="188"/>
      <c r="AC61" s="188"/>
      <c r="AD61" s="3"/>
      <c r="AE61" s="1">
        <f t="shared" si="8"/>
      </c>
      <c r="AF61" s="1">
        <f t="shared" si="9"/>
      </c>
      <c r="AG61" s="237">
        <f t="shared" si="22"/>
      </c>
      <c r="AH61" s="231"/>
      <c r="AI61" s="231">
        <f t="shared" si="23"/>
      </c>
      <c r="AJ61" s="232"/>
      <c r="AK61" s="26"/>
      <c r="AL61" s="26"/>
      <c r="AM61" s="26"/>
      <c r="AN61" s="26"/>
      <c r="AO61" s="43">
        <f t="shared" si="15"/>
        <v>0</v>
      </c>
      <c r="AP61" s="26"/>
      <c r="AQ61" s="1">
        <f t="shared" si="16"/>
        <v>0</v>
      </c>
      <c r="AR61" s="1">
        <f t="shared" si="17"/>
      </c>
      <c r="AS61" s="1">
        <f t="shared" si="18"/>
      </c>
      <c r="AT61" s="1" t="s">
        <v>197</v>
      </c>
      <c r="AU61" s="3">
        <v>2345135</v>
      </c>
      <c r="AV61" s="57" t="e">
        <f>VLOOKUPX("女子A",$A$7:$G$116,3,6)</f>
        <v>#N/A</v>
      </c>
      <c r="AW61" s="57" t="e">
        <f>VLOOKUPX("女子B",$A$7:$G$116,3,6)</f>
        <v>#N/A</v>
      </c>
      <c r="AY61" s="197"/>
      <c r="AZ61" s="197"/>
      <c r="BA61" s="197"/>
    </row>
    <row r="62" spans="1:53" ht="13.5">
      <c r="A62" s="99">
        <f t="shared" si="4"/>
        <v>0</v>
      </c>
      <c r="B62" s="97">
        <f t="shared" si="5"/>
        <v>0</v>
      </c>
      <c r="C62" s="129"/>
      <c r="D62" s="79">
        <f>'登録DATA'!E58</f>
        <v>0</v>
      </c>
      <c r="E62" s="180"/>
      <c r="F62" s="160">
        <f>'登録DATA'!G58</f>
        <v>0</v>
      </c>
      <c r="G62" s="160">
        <f>'登録DATA'!H58</f>
        <v>0</v>
      </c>
      <c r="H62" s="156">
        <f t="shared" si="6"/>
        <v>0</v>
      </c>
      <c r="I62" s="161">
        <f>'登録DATA'!J58</f>
        <v>0</v>
      </c>
      <c r="J62" s="155" t="b">
        <f t="shared" si="7"/>
        <v>0</v>
      </c>
      <c r="K62" s="162">
        <f>'登録DATA'!I58</f>
        <v>0</v>
      </c>
      <c r="L62" s="50"/>
      <c r="M62" s="50"/>
      <c r="N62" s="55"/>
      <c r="O62" s="83"/>
      <c r="P62" s="51">
        <f>IF(O62="","",IF(J62=1,VLOOKUP(O62,'男子種目コード'!$A$1:$B$15,2,FALSE),IF(J62=2,VLOOKUP(O62,'女子種目コード'!$A$1:$B$14,2,FALSE))))</f>
      </c>
      <c r="Q62" s="67"/>
      <c r="R62" s="184"/>
      <c r="S62" s="184"/>
      <c r="T62" s="83"/>
      <c r="U62" s="51">
        <f>IF(T62="","",IF(J62=1,VLOOKUP(T62,'男子種目コード'!$A$1:$B$15,2,FALSE),IF(J62=2,VLOOKUP(T62,'女子種目コード'!$A$1:$B$14,2,FALSE))))</f>
      </c>
      <c r="V62" s="73"/>
      <c r="W62" s="184"/>
      <c r="X62" s="184"/>
      <c r="Y62" s="75"/>
      <c r="Z62" s="21">
        <f>IF(Y62="","",IF(J62=1,VLOOKUP(Y62,'男子種目コード'!$A$1:$B$13,2,FALSE),IF(J62=2,VLOOKUP(Y62,'女子種目コード'!$A$1:$B$10,2,FALSE))))</f>
      </c>
      <c r="AA62" s="12"/>
      <c r="AB62" s="188"/>
      <c r="AC62" s="188"/>
      <c r="AD62" s="3"/>
      <c r="AE62" s="1">
        <f t="shared" si="8"/>
      </c>
      <c r="AF62" s="1">
        <f t="shared" si="9"/>
      </c>
      <c r="AG62" s="237">
        <f t="shared" si="22"/>
      </c>
      <c r="AH62" s="231"/>
      <c r="AI62" s="231">
        <f t="shared" si="23"/>
      </c>
      <c r="AJ62" s="232"/>
      <c r="AK62" s="26"/>
      <c r="AL62" s="26"/>
      <c r="AM62" s="26"/>
      <c r="AN62" s="26"/>
      <c r="AO62" s="43">
        <f t="shared" si="15"/>
        <v>0</v>
      </c>
      <c r="AP62" s="26"/>
      <c r="AQ62" s="1">
        <f t="shared" si="16"/>
        <v>0</v>
      </c>
      <c r="AR62" s="1">
        <f t="shared" si="17"/>
      </c>
      <c r="AS62" s="1">
        <f t="shared" si="18"/>
      </c>
      <c r="AT62" s="1" t="s">
        <v>198</v>
      </c>
      <c r="AU62" s="3">
        <v>2345136</v>
      </c>
      <c r="AV62" s="57" t="e">
        <f>VLOOKUPX("女子A",$A$7:$G$116,4,6)</f>
        <v>#N/A</v>
      </c>
      <c r="AW62" s="57" t="e">
        <f>VLOOKUPX("女子B",$A$7:$G$116,4,6)</f>
        <v>#N/A</v>
      </c>
      <c r="AY62" s="197"/>
      <c r="AZ62" s="197"/>
      <c r="BA62" s="197"/>
    </row>
    <row r="63" spans="1:53" ht="13.5">
      <c r="A63" s="99">
        <f t="shared" si="4"/>
        <v>0</v>
      </c>
      <c r="B63" s="97">
        <f t="shared" si="5"/>
        <v>0</v>
      </c>
      <c r="C63" s="129"/>
      <c r="D63" s="79">
        <f>'登録DATA'!E59</f>
        <v>0</v>
      </c>
      <c r="E63" s="180"/>
      <c r="F63" s="160">
        <f>'登録DATA'!G59</f>
        <v>0</v>
      </c>
      <c r="G63" s="160">
        <f>'登録DATA'!H59</f>
        <v>0</v>
      </c>
      <c r="H63" s="156">
        <f t="shared" si="6"/>
        <v>0</v>
      </c>
      <c r="I63" s="161">
        <f>'登録DATA'!J59</f>
        <v>0</v>
      </c>
      <c r="J63" s="155" t="b">
        <f t="shared" si="7"/>
        <v>0</v>
      </c>
      <c r="K63" s="162">
        <f>'登録DATA'!I59</f>
        <v>0</v>
      </c>
      <c r="L63" s="50"/>
      <c r="M63" s="50"/>
      <c r="N63" s="55"/>
      <c r="O63" s="83"/>
      <c r="P63" s="51">
        <f>IF(O63="","",IF(J63=1,VLOOKUP(O63,'男子種目コード'!$A$1:$B$15,2,FALSE),IF(J63=2,VLOOKUP(O63,'女子種目コード'!$A$1:$B$14,2,FALSE))))</f>
      </c>
      <c r="Q63" s="67"/>
      <c r="R63" s="184"/>
      <c r="S63" s="184"/>
      <c r="T63" s="83"/>
      <c r="U63" s="51">
        <f>IF(T63="","",IF(J63=1,VLOOKUP(T63,'男子種目コード'!$A$1:$B$15,2,FALSE),IF(J63=2,VLOOKUP(T63,'女子種目コード'!$A$1:$B$14,2,FALSE))))</f>
      </c>
      <c r="V63" s="73"/>
      <c r="W63" s="184"/>
      <c r="X63" s="184"/>
      <c r="Y63" s="75"/>
      <c r="Z63" s="21">
        <f>IF(Y63="","",IF(J63=1,VLOOKUP(Y63,'男子種目コード'!$A$1:$B$13,2,FALSE),IF(J63=2,VLOOKUP(Y63,'女子種目コード'!$A$1:$B$10,2,FALSE))))</f>
      </c>
      <c r="AA63" s="12"/>
      <c r="AB63" s="188"/>
      <c r="AC63" s="188"/>
      <c r="AD63" s="3"/>
      <c r="AE63" s="1">
        <f t="shared" si="8"/>
      </c>
      <c r="AF63" s="1">
        <f t="shared" si="9"/>
      </c>
      <c r="AG63" s="237">
        <f t="shared" si="22"/>
      </c>
      <c r="AH63" s="231"/>
      <c r="AI63" s="231">
        <f t="shared" si="23"/>
      </c>
      <c r="AJ63" s="232"/>
      <c r="AK63" s="26"/>
      <c r="AL63" s="26"/>
      <c r="AM63" s="26"/>
      <c r="AN63" s="26"/>
      <c r="AO63" s="43">
        <f t="shared" si="15"/>
        <v>0</v>
      </c>
      <c r="AP63" s="26"/>
      <c r="AQ63" s="1">
        <f t="shared" si="16"/>
        <v>0</v>
      </c>
      <c r="AR63" s="1">
        <f t="shared" si="17"/>
      </c>
      <c r="AS63" s="1">
        <f t="shared" si="18"/>
      </c>
      <c r="AT63" s="1" t="s">
        <v>199</v>
      </c>
      <c r="AU63" s="3">
        <v>2345137</v>
      </c>
      <c r="AV63" s="57" t="e">
        <f>VLOOKUPX("女子A",$A$7:$G$116,5,6)</f>
        <v>#N/A</v>
      </c>
      <c r="AW63" s="57" t="e">
        <f>VLOOKUPX("女子B",$A$7:$G$116,5,6)</f>
        <v>#N/A</v>
      </c>
      <c r="AY63" s="197"/>
      <c r="AZ63" s="197"/>
      <c r="BA63" s="197"/>
    </row>
    <row r="64" spans="1:53" ht="14.25" thickBot="1">
      <c r="A64" s="99">
        <f t="shared" si="4"/>
        <v>0</v>
      </c>
      <c r="B64" s="97">
        <f t="shared" si="5"/>
        <v>0</v>
      </c>
      <c r="C64" s="129"/>
      <c r="D64" s="79">
        <f>'登録DATA'!E60</f>
        <v>0</v>
      </c>
      <c r="E64" s="180"/>
      <c r="F64" s="160">
        <f>'登録DATA'!G60</f>
        <v>0</v>
      </c>
      <c r="G64" s="160">
        <f>'登録DATA'!H60</f>
        <v>0</v>
      </c>
      <c r="H64" s="156">
        <f t="shared" si="6"/>
        <v>0</v>
      </c>
      <c r="I64" s="161">
        <f>'登録DATA'!J60</f>
        <v>0</v>
      </c>
      <c r="J64" s="155" t="b">
        <f t="shared" si="7"/>
        <v>0</v>
      </c>
      <c r="K64" s="162">
        <f>'登録DATA'!I60</f>
        <v>0</v>
      </c>
      <c r="L64" s="50"/>
      <c r="M64" s="50"/>
      <c r="N64" s="55"/>
      <c r="O64" s="83"/>
      <c r="P64" s="51">
        <f>IF(O64="","",IF(J64=1,VLOOKUP(O64,'男子種目コード'!$A$1:$B$15,2,FALSE),IF(J64=2,VLOOKUP(O64,'女子種目コード'!$A$1:$B$14,2,FALSE))))</f>
      </c>
      <c r="Q64" s="67"/>
      <c r="R64" s="184"/>
      <c r="S64" s="184"/>
      <c r="T64" s="83"/>
      <c r="U64" s="51">
        <f>IF(T64="","",IF(J64=1,VLOOKUP(T64,'男子種目コード'!$A$1:$B$15,2,FALSE),IF(J64=2,VLOOKUP(T64,'女子種目コード'!$A$1:$B$14,2,FALSE))))</f>
      </c>
      <c r="V64" s="73"/>
      <c r="W64" s="184"/>
      <c r="X64" s="184"/>
      <c r="Y64" s="75"/>
      <c r="Z64" s="21">
        <f>IF(Y64="","",IF(J64=1,VLOOKUP(Y64,'男子種目コード'!$A$1:$B$13,2,FALSE),IF(J64=2,VLOOKUP(Y64,'女子種目コード'!$A$1:$B$10,2,FALSE))))</f>
      </c>
      <c r="AA64" s="12"/>
      <c r="AB64" s="188"/>
      <c r="AC64" s="188"/>
      <c r="AD64" s="3"/>
      <c r="AE64" s="1">
        <f t="shared" si="8"/>
      </c>
      <c r="AF64" s="1">
        <f t="shared" si="9"/>
      </c>
      <c r="AG64" s="261">
        <f t="shared" si="22"/>
      </c>
      <c r="AH64" s="235"/>
      <c r="AI64" s="235">
        <f t="shared" si="23"/>
      </c>
      <c r="AJ64" s="236"/>
      <c r="AK64" s="26"/>
      <c r="AL64" s="26"/>
      <c r="AM64" s="26"/>
      <c r="AN64" s="26"/>
      <c r="AO64" s="43">
        <f t="shared" si="15"/>
        <v>0</v>
      </c>
      <c r="AP64" s="26"/>
      <c r="AQ64" s="1">
        <f t="shared" si="16"/>
        <v>0</v>
      </c>
      <c r="AR64" s="1">
        <f t="shared" si="17"/>
      </c>
      <c r="AS64" s="1">
        <f t="shared" si="18"/>
      </c>
      <c r="AT64" s="1" t="s">
        <v>200</v>
      </c>
      <c r="AU64" s="3">
        <v>2345138</v>
      </c>
      <c r="AV64" s="57" t="e">
        <f>VLOOKUPX("女子A",$A$7:$G$116,6,6)</f>
        <v>#N/A</v>
      </c>
      <c r="AW64" s="57" t="e">
        <f>VLOOKUPX("女子B",$A$7:$G$116,6,6)</f>
        <v>#N/A</v>
      </c>
      <c r="AY64" s="197"/>
      <c r="AZ64" s="197"/>
      <c r="BA64" s="197"/>
    </row>
    <row r="65" spans="1:53" ht="13.5">
      <c r="A65" s="99">
        <f t="shared" si="4"/>
        <v>0</v>
      </c>
      <c r="B65" s="97">
        <f t="shared" si="5"/>
        <v>0</v>
      </c>
      <c r="C65" s="129"/>
      <c r="D65" s="79">
        <f>'登録DATA'!E61</f>
        <v>0</v>
      </c>
      <c r="E65" s="180"/>
      <c r="F65" s="160">
        <f>'登録DATA'!G61</f>
        <v>0</v>
      </c>
      <c r="G65" s="160">
        <f>'登録DATA'!H61</f>
        <v>0</v>
      </c>
      <c r="H65" s="156">
        <f t="shared" si="6"/>
        <v>0</v>
      </c>
      <c r="I65" s="161">
        <f>'登録DATA'!J61</f>
        <v>0</v>
      </c>
      <c r="J65" s="155" t="b">
        <f t="shared" si="7"/>
        <v>0</v>
      </c>
      <c r="K65" s="162">
        <f>'登録DATA'!I61</f>
        <v>0</v>
      </c>
      <c r="L65" s="50"/>
      <c r="M65" s="50"/>
      <c r="N65" s="55"/>
      <c r="O65" s="83"/>
      <c r="P65" s="51">
        <f>IF(O65="","",IF(J65=1,VLOOKUP(O65,'男子種目コード'!$A$1:$B$15,2,FALSE),IF(J65=2,VLOOKUP(O65,'女子種目コード'!$A$1:$B$14,2,FALSE))))</f>
      </c>
      <c r="Q65" s="67"/>
      <c r="R65" s="184"/>
      <c r="S65" s="184"/>
      <c r="T65" s="83"/>
      <c r="U65" s="51">
        <f>IF(T65="","",IF(J65=1,VLOOKUP(T65,'男子種目コード'!$A$1:$B$15,2,FALSE),IF(J65=2,VLOOKUP(T65,'女子種目コード'!$A$1:$B$14,2,FALSE))))</f>
      </c>
      <c r="V65" s="73"/>
      <c r="W65" s="184"/>
      <c r="X65" s="184"/>
      <c r="Y65" s="75"/>
      <c r="Z65" s="21">
        <f>IF(Y65="","",IF(J65=1,VLOOKUP(Y65,'男子種目コード'!$A$1:$B$13,2,FALSE),IF(J65=2,VLOOKUP(Y65,'女子種目コード'!$A$1:$B$10,2,FALSE))))</f>
      </c>
      <c r="AA65" s="12"/>
      <c r="AB65" s="188"/>
      <c r="AC65" s="188"/>
      <c r="AD65" s="3"/>
      <c r="AE65" s="1">
        <f t="shared" si="8"/>
      </c>
      <c r="AF65" s="1">
        <f t="shared" si="9"/>
      </c>
      <c r="AG65" s="268" t="s">
        <v>57</v>
      </c>
      <c r="AH65" s="269"/>
      <c r="AI65" s="26"/>
      <c r="AJ65" s="26"/>
      <c r="AK65" s="26"/>
      <c r="AL65" s="26"/>
      <c r="AM65" s="26"/>
      <c r="AN65" s="26"/>
      <c r="AO65" s="43">
        <f t="shared" si="15"/>
        <v>0</v>
      </c>
      <c r="AP65" s="26"/>
      <c r="AQ65" s="1">
        <f t="shared" si="16"/>
        <v>0</v>
      </c>
      <c r="AR65" s="1">
        <f t="shared" si="17"/>
      </c>
      <c r="AS65" s="1">
        <f t="shared" si="18"/>
      </c>
      <c r="AT65" s="1" t="s">
        <v>201</v>
      </c>
      <c r="AU65" s="3">
        <v>2345139</v>
      </c>
      <c r="AY65" s="197"/>
      <c r="AZ65" s="197"/>
      <c r="BA65" s="197"/>
    </row>
    <row r="66" spans="1:53" ht="13.5">
      <c r="A66" s="99">
        <f t="shared" si="4"/>
        <v>0</v>
      </c>
      <c r="B66" s="97">
        <f t="shared" si="5"/>
        <v>0</v>
      </c>
      <c r="C66" s="129"/>
      <c r="D66" s="79">
        <f>'登録DATA'!E62</f>
        <v>0</v>
      </c>
      <c r="E66" s="180"/>
      <c r="F66" s="160">
        <f>'登録DATA'!G62</f>
        <v>0</v>
      </c>
      <c r="G66" s="160">
        <f>'登録DATA'!H62</f>
        <v>0</v>
      </c>
      <c r="H66" s="156">
        <f t="shared" si="6"/>
        <v>0</v>
      </c>
      <c r="I66" s="161">
        <f>'登録DATA'!J62</f>
        <v>0</v>
      </c>
      <c r="J66" s="155" t="b">
        <f t="shared" si="7"/>
        <v>0</v>
      </c>
      <c r="K66" s="162">
        <f>'登録DATA'!I62</f>
        <v>0</v>
      </c>
      <c r="L66" s="50"/>
      <c r="M66" s="50"/>
      <c r="N66" s="55"/>
      <c r="O66" s="83"/>
      <c r="P66" s="51">
        <f>IF(O66="","",IF(J66=1,VLOOKUP(O66,'男子種目コード'!$A$1:$B$15,2,FALSE),IF(J66=2,VLOOKUP(O66,'女子種目コード'!$A$1:$B$14,2,FALSE))))</f>
      </c>
      <c r="Q66" s="67"/>
      <c r="R66" s="184"/>
      <c r="S66" s="184"/>
      <c r="T66" s="83"/>
      <c r="U66" s="51">
        <f>IF(T66="","",IF(J66=1,VLOOKUP(T66,'男子種目コード'!$A$1:$B$15,2,FALSE),IF(J66=2,VLOOKUP(T66,'女子種目コード'!$A$1:$B$14,2,FALSE))))</f>
      </c>
      <c r="V66" s="73"/>
      <c r="W66" s="184"/>
      <c r="X66" s="184"/>
      <c r="Y66" s="75"/>
      <c r="Z66" s="21">
        <f>IF(Y66="","",IF(J66=1,VLOOKUP(Y66,'男子種目コード'!$A$1:$B$13,2,FALSE),IF(J66=2,VLOOKUP(Y66,'女子種目コード'!$A$1:$B$10,2,FALSE))))</f>
      </c>
      <c r="AA66" s="12"/>
      <c r="AB66" s="188"/>
      <c r="AC66" s="188"/>
      <c r="AD66" s="3"/>
      <c r="AE66" s="1">
        <f t="shared" si="8"/>
      </c>
      <c r="AF66" s="1">
        <f t="shared" si="9"/>
      </c>
      <c r="AG66" s="259">
        <f aca="true" t="shared" si="24" ref="AG66:AG71">IF(ISERROR(AV66),"",AV66)</f>
      </c>
      <c r="AH66" s="260"/>
      <c r="AI66" s="26"/>
      <c r="AJ66" s="26"/>
      <c r="AK66" s="26"/>
      <c r="AL66" s="26"/>
      <c r="AM66" s="26"/>
      <c r="AN66" s="26"/>
      <c r="AO66" s="43">
        <f t="shared" si="15"/>
        <v>0</v>
      </c>
      <c r="AP66" s="26"/>
      <c r="AQ66" s="1">
        <f t="shared" si="16"/>
        <v>0</v>
      </c>
      <c r="AR66" s="1">
        <f t="shared" si="17"/>
      </c>
      <c r="AS66" s="1">
        <f t="shared" si="18"/>
      </c>
      <c r="AT66" s="1" t="s">
        <v>202</v>
      </c>
      <c r="AU66" s="3">
        <v>2345140</v>
      </c>
      <c r="AV66" s="57" t="e">
        <f>VLOOKUPX("女子C",$A$7:$G$116,1,6)</f>
        <v>#N/A</v>
      </c>
      <c r="AY66" s="197"/>
      <c r="AZ66" s="197"/>
      <c r="BA66" s="197"/>
    </row>
    <row r="67" spans="1:53" ht="13.5">
      <c r="A67" s="99">
        <f t="shared" si="4"/>
        <v>0</v>
      </c>
      <c r="B67" s="97">
        <f t="shared" si="5"/>
        <v>0</v>
      </c>
      <c r="C67" s="129"/>
      <c r="D67" s="79">
        <f>'登録DATA'!E63</f>
        <v>0</v>
      </c>
      <c r="E67" s="180"/>
      <c r="F67" s="160">
        <f>'登録DATA'!G63</f>
        <v>0</v>
      </c>
      <c r="G67" s="160">
        <f>'登録DATA'!H63</f>
        <v>0</v>
      </c>
      <c r="H67" s="156">
        <f t="shared" si="6"/>
        <v>0</v>
      </c>
      <c r="I67" s="161">
        <f>'登録DATA'!J63</f>
        <v>0</v>
      </c>
      <c r="J67" s="155" t="b">
        <f t="shared" si="7"/>
        <v>0</v>
      </c>
      <c r="K67" s="162">
        <f>'登録DATA'!I63</f>
        <v>0</v>
      </c>
      <c r="L67" s="50"/>
      <c r="M67" s="50"/>
      <c r="N67" s="55"/>
      <c r="O67" s="83"/>
      <c r="P67" s="51">
        <f>IF(O67="","",IF(J67=1,VLOOKUP(O67,'男子種目コード'!$A$1:$B$15,2,FALSE),IF(J67=2,VLOOKUP(O67,'女子種目コード'!$A$1:$B$14,2,FALSE))))</f>
      </c>
      <c r="Q67" s="67"/>
      <c r="R67" s="184"/>
      <c r="S67" s="184"/>
      <c r="T67" s="83"/>
      <c r="U67" s="51">
        <f>IF(T67="","",IF(J67=1,VLOOKUP(T67,'男子種目コード'!$A$1:$B$15,2,FALSE),IF(J67=2,VLOOKUP(T67,'女子種目コード'!$A$1:$B$14,2,FALSE))))</f>
      </c>
      <c r="V67" s="73"/>
      <c r="W67" s="184"/>
      <c r="X67" s="184"/>
      <c r="Y67" s="75"/>
      <c r="Z67" s="21">
        <f>IF(Y67="","",IF(J67=1,VLOOKUP(Y67,'男子種目コード'!$A$1:$B$13,2,FALSE),IF(J67=2,VLOOKUP(Y67,'女子種目コード'!$A$1:$B$10,2,FALSE))))</f>
      </c>
      <c r="AA67" s="12"/>
      <c r="AB67" s="188"/>
      <c r="AC67" s="188"/>
      <c r="AD67" s="3"/>
      <c r="AE67" s="1">
        <f t="shared" si="8"/>
      </c>
      <c r="AF67" s="1">
        <f t="shared" si="9"/>
      </c>
      <c r="AG67" s="259">
        <f t="shared" si="24"/>
      </c>
      <c r="AH67" s="260"/>
      <c r="AI67" s="26"/>
      <c r="AJ67" s="26"/>
      <c r="AK67" s="26"/>
      <c r="AL67" s="26"/>
      <c r="AM67" s="26"/>
      <c r="AN67" s="26"/>
      <c r="AO67" s="43">
        <f t="shared" si="15"/>
        <v>0</v>
      </c>
      <c r="AP67" s="26"/>
      <c r="AQ67" s="1">
        <f t="shared" si="16"/>
        <v>0</v>
      </c>
      <c r="AR67" s="1">
        <f t="shared" si="17"/>
      </c>
      <c r="AS67" s="1">
        <f t="shared" si="18"/>
      </c>
      <c r="AT67" s="1" t="s">
        <v>203</v>
      </c>
      <c r="AU67" s="3">
        <v>2345141</v>
      </c>
      <c r="AV67" s="57" t="e">
        <f>VLOOKUPX("女子C",$A$7:$G$116,2,6)</f>
        <v>#N/A</v>
      </c>
      <c r="AY67" s="197"/>
      <c r="AZ67" s="197"/>
      <c r="BA67" s="197"/>
    </row>
    <row r="68" spans="1:53" ht="13.5">
      <c r="A68" s="99">
        <f t="shared" si="4"/>
        <v>0</v>
      </c>
      <c r="B68" s="97">
        <f t="shared" si="5"/>
        <v>0</v>
      </c>
      <c r="C68" s="129"/>
      <c r="D68" s="79">
        <f>'登録DATA'!E64</f>
        <v>0</v>
      </c>
      <c r="E68" s="180"/>
      <c r="F68" s="160">
        <f>'登録DATA'!G64</f>
        <v>0</v>
      </c>
      <c r="G68" s="160">
        <f>'登録DATA'!H64</f>
        <v>0</v>
      </c>
      <c r="H68" s="156">
        <f t="shared" si="6"/>
        <v>0</v>
      </c>
      <c r="I68" s="161">
        <f>'登録DATA'!J64</f>
        <v>0</v>
      </c>
      <c r="J68" s="155" t="b">
        <f t="shared" si="7"/>
        <v>0</v>
      </c>
      <c r="K68" s="162">
        <f>'登録DATA'!I64</f>
        <v>0</v>
      </c>
      <c r="L68" s="50"/>
      <c r="M68" s="50"/>
      <c r="N68" s="55"/>
      <c r="O68" s="83"/>
      <c r="P68" s="51">
        <f>IF(O68="","",IF(J68=1,VLOOKUP(O68,'男子種目コード'!$A$1:$B$15,2,FALSE),IF(J68=2,VLOOKUP(O68,'女子種目コード'!$A$1:$B$14,2,FALSE))))</f>
      </c>
      <c r="Q68" s="67"/>
      <c r="R68" s="184"/>
      <c r="S68" s="184"/>
      <c r="T68" s="83"/>
      <c r="U68" s="51">
        <f>IF(T68="","",IF(J68=1,VLOOKUP(T68,'男子種目コード'!$A$1:$B$15,2,FALSE),IF(J68=2,VLOOKUP(T68,'女子種目コード'!$A$1:$B$14,2,FALSE))))</f>
      </c>
      <c r="V68" s="73"/>
      <c r="W68" s="184"/>
      <c r="X68" s="184"/>
      <c r="Y68" s="75"/>
      <c r="Z68" s="21">
        <f>IF(Y68="","",IF(J68=1,VLOOKUP(Y68,'男子種目コード'!$A$1:$B$13,2,FALSE),IF(J68=2,VLOOKUP(Y68,'女子種目コード'!$A$1:$B$10,2,FALSE))))</f>
      </c>
      <c r="AA68" s="12"/>
      <c r="AB68" s="188"/>
      <c r="AC68" s="188"/>
      <c r="AD68" s="3"/>
      <c r="AE68" s="1">
        <f t="shared" si="8"/>
      </c>
      <c r="AF68" s="1">
        <f t="shared" si="9"/>
      </c>
      <c r="AG68" s="259">
        <f t="shared" si="24"/>
      </c>
      <c r="AH68" s="260"/>
      <c r="AI68" s="26"/>
      <c r="AJ68" s="26"/>
      <c r="AK68" s="26"/>
      <c r="AL68" s="26"/>
      <c r="AM68" s="26"/>
      <c r="AN68" s="26"/>
      <c r="AO68" s="43">
        <f t="shared" si="15"/>
        <v>0</v>
      </c>
      <c r="AP68" s="26"/>
      <c r="AQ68" s="1">
        <f t="shared" si="16"/>
        <v>0</v>
      </c>
      <c r="AR68" s="1">
        <f t="shared" si="17"/>
      </c>
      <c r="AS68" s="1">
        <f t="shared" si="18"/>
      </c>
      <c r="AT68" s="1" t="s">
        <v>204</v>
      </c>
      <c r="AU68" s="3">
        <v>2345142</v>
      </c>
      <c r="AV68" s="57" t="e">
        <f>VLOOKUPX("女子C",$A$7:$G$116,3,6)</f>
        <v>#N/A</v>
      </c>
      <c r="AY68" s="197"/>
      <c r="AZ68" s="197"/>
      <c r="BA68" s="197"/>
    </row>
    <row r="69" spans="1:53" ht="13.5">
      <c r="A69" s="99">
        <f t="shared" si="4"/>
        <v>0</v>
      </c>
      <c r="B69" s="97">
        <f t="shared" si="5"/>
        <v>0</v>
      </c>
      <c r="C69" s="129"/>
      <c r="D69" s="79">
        <f>'登録DATA'!E65</f>
        <v>0</v>
      </c>
      <c r="E69" s="180"/>
      <c r="F69" s="160">
        <f>'登録DATA'!G65</f>
        <v>0</v>
      </c>
      <c r="G69" s="160">
        <f>'登録DATA'!H65</f>
        <v>0</v>
      </c>
      <c r="H69" s="156">
        <f t="shared" si="6"/>
        <v>0</v>
      </c>
      <c r="I69" s="161">
        <f>'登録DATA'!J65</f>
        <v>0</v>
      </c>
      <c r="J69" s="155" t="b">
        <f t="shared" si="7"/>
        <v>0</v>
      </c>
      <c r="K69" s="162">
        <f>'登録DATA'!I65</f>
        <v>0</v>
      </c>
      <c r="L69" s="50"/>
      <c r="M69" s="50"/>
      <c r="N69" s="55"/>
      <c r="O69" s="83"/>
      <c r="P69" s="51">
        <f>IF(O69="","",IF(J69=1,VLOOKUP(O69,'男子種目コード'!$A$1:$B$15,2,FALSE),IF(J69=2,VLOOKUP(O69,'女子種目コード'!$A$1:$B$14,2,FALSE))))</f>
      </c>
      <c r="Q69" s="67"/>
      <c r="R69" s="184"/>
      <c r="S69" s="184"/>
      <c r="T69" s="83"/>
      <c r="U69" s="51">
        <f>IF(T69="","",IF(J69=1,VLOOKUP(T69,'男子種目コード'!$A$1:$B$15,2,FALSE),IF(J69=2,VLOOKUP(T69,'女子種目コード'!$A$1:$B$14,2,FALSE))))</f>
      </c>
      <c r="V69" s="73"/>
      <c r="W69" s="184"/>
      <c r="X69" s="184"/>
      <c r="Y69" s="75"/>
      <c r="Z69" s="21">
        <f>IF(Y69="","",IF(J69=1,VLOOKUP(Y69,'男子種目コード'!$A$1:$B$13,2,FALSE),IF(J69=2,VLOOKUP(Y69,'女子種目コード'!$A$1:$B$10,2,FALSE))))</f>
      </c>
      <c r="AA69" s="12"/>
      <c r="AB69" s="188"/>
      <c r="AC69" s="188"/>
      <c r="AD69" s="3"/>
      <c r="AE69" s="1">
        <f t="shared" si="8"/>
      </c>
      <c r="AF69" s="1">
        <f t="shared" si="9"/>
      </c>
      <c r="AG69" s="259">
        <f t="shared" si="24"/>
      </c>
      <c r="AH69" s="260"/>
      <c r="AI69" s="26"/>
      <c r="AJ69" s="26"/>
      <c r="AK69" s="26"/>
      <c r="AL69" s="26"/>
      <c r="AM69" s="26"/>
      <c r="AN69" s="26"/>
      <c r="AO69" s="43">
        <f t="shared" si="15"/>
        <v>0</v>
      </c>
      <c r="AP69" s="26"/>
      <c r="AQ69" s="1">
        <f t="shared" si="16"/>
        <v>0</v>
      </c>
      <c r="AR69" s="1">
        <f t="shared" si="17"/>
      </c>
      <c r="AS69" s="1">
        <f t="shared" si="18"/>
      </c>
      <c r="AT69" s="1" t="s">
        <v>248</v>
      </c>
      <c r="AU69" s="3">
        <v>2345143</v>
      </c>
      <c r="AV69" s="57" t="e">
        <f>VLOOKUPX("女子C",$A$7:$G$116,4,6)</f>
        <v>#N/A</v>
      </c>
      <c r="AY69" s="197"/>
      <c r="AZ69" s="197"/>
      <c r="BA69" s="197"/>
    </row>
    <row r="70" spans="1:53" ht="13.5">
      <c r="A70" s="99">
        <f t="shared" si="4"/>
        <v>0</v>
      </c>
      <c r="B70" s="97">
        <f t="shared" si="5"/>
        <v>0</v>
      </c>
      <c r="C70" s="129"/>
      <c r="D70" s="79">
        <f>'登録DATA'!E66</f>
        <v>0</v>
      </c>
      <c r="E70" s="180"/>
      <c r="F70" s="160">
        <f>'登録DATA'!G66</f>
        <v>0</v>
      </c>
      <c r="G70" s="160">
        <f>'登録DATA'!H66</f>
        <v>0</v>
      </c>
      <c r="H70" s="156">
        <f t="shared" si="6"/>
        <v>0</v>
      </c>
      <c r="I70" s="161">
        <f>'登録DATA'!J66</f>
        <v>0</v>
      </c>
      <c r="J70" s="155" t="b">
        <f t="shared" si="7"/>
        <v>0</v>
      </c>
      <c r="K70" s="162">
        <f>'登録DATA'!I66</f>
        <v>0</v>
      </c>
      <c r="L70" s="50"/>
      <c r="M70" s="50"/>
      <c r="N70" s="55"/>
      <c r="O70" s="83"/>
      <c r="P70" s="51">
        <f>IF(O70="","",IF(J70=1,VLOOKUP(O70,'男子種目コード'!$A$1:$B$15,2,FALSE),IF(J70=2,VLOOKUP(O70,'女子種目コード'!$A$1:$B$14,2,FALSE))))</f>
      </c>
      <c r="Q70" s="67"/>
      <c r="R70" s="184"/>
      <c r="S70" s="184"/>
      <c r="T70" s="83"/>
      <c r="U70" s="51">
        <f>IF(T70="","",IF(J70=1,VLOOKUP(T70,'男子種目コード'!$A$1:$B$15,2,FALSE),IF(J70=2,VLOOKUP(T70,'女子種目コード'!$A$1:$B$14,2,FALSE))))</f>
      </c>
      <c r="V70" s="73"/>
      <c r="W70" s="184"/>
      <c r="X70" s="184"/>
      <c r="Y70" s="75"/>
      <c r="Z70" s="21">
        <f>IF(Y70="","",IF(J70=1,VLOOKUP(Y70,'男子種目コード'!$A$1:$B$13,2,FALSE),IF(J70=2,VLOOKUP(Y70,'女子種目コード'!$A$1:$B$10,2,FALSE))))</f>
      </c>
      <c r="AA70" s="12"/>
      <c r="AB70" s="188"/>
      <c r="AC70" s="188"/>
      <c r="AD70" s="3"/>
      <c r="AE70" s="1">
        <f t="shared" si="8"/>
      </c>
      <c r="AF70" s="1">
        <f t="shared" si="9"/>
      </c>
      <c r="AG70" s="259">
        <f t="shared" si="24"/>
      </c>
      <c r="AH70" s="260"/>
      <c r="AI70" s="26"/>
      <c r="AJ70" s="26"/>
      <c r="AK70" s="26"/>
      <c r="AL70" s="26"/>
      <c r="AM70" s="26"/>
      <c r="AN70" s="26"/>
      <c r="AO70" s="43">
        <f t="shared" si="15"/>
        <v>0</v>
      </c>
      <c r="AP70" s="26"/>
      <c r="AQ70" s="1">
        <f t="shared" si="16"/>
        <v>0</v>
      </c>
      <c r="AR70" s="1">
        <f t="shared" si="17"/>
      </c>
      <c r="AS70" s="1">
        <f t="shared" si="18"/>
      </c>
      <c r="AT70" s="1" t="s">
        <v>205</v>
      </c>
      <c r="AU70" s="3">
        <v>2345144</v>
      </c>
      <c r="AV70" s="57" t="e">
        <f>VLOOKUPX("女子C",$A$7:$G$116,5,6)</f>
        <v>#N/A</v>
      </c>
      <c r="AY70" s="197"/>
      <c r="AZ70" s="197"/>
      <c r="BA70" s="197"/>
    </row>
    <row r="71" spans="1:53" ht="14.25" thickBot="1">
      <c r="A71" s="99">
        <f t="shared" si="4"/>
        <v>0</v>
      </c>
      <c r="B71" s="97">
        <f t="shared" si="5"/>
        <v>0</v>
      </c>
      <c r="C71" s="129"/>
      <c r="D71" s="79">
        <f>'登録DATA'!E67</f>
        <v>0</v>
      </c>
      <c r="E71" s="180"/>
      <c r="F71" s="160">
        <f>'登録DATA'!G67</f>
        <v>0</v>
      </c>
      <c r="G71" s="160">
        <f>'登録DATA'!H67</f>
        <v>0</v>
      </c>
      <c r="H71" s="156">
        <f t="shared" si="6"/>
        <v>0</v>
      </c>
      <c r="I71" s="161">
        <f>'登録DATA'!J67</f>
        <v>0</v>
      </c>
      <c r="J71" s="155" t="b">
        <f t="shared" si="7"/>
        <v>0</v>
      </c>
      <c r="K71" s="162">
        <f>'登録DATA'!I67</f>
        <v>0</v>
      </c>
      <c r="L71" s="50"/>
      <c r="M71" s="50"/>
      <c r="N71" s="55"/>
      <c r="O71" s="83"/>
      <c r="P71" s="51">
        <f>IF(O71="","",IF(J71=1,VLOOKUP(O71,'男子種目コード'!$A$1:$B$15,2,FALSE),IF(J71=2,VLOOKUP(O71,'女子種目コード'!$A$1:$B$14,2,FALSE))))</f>
      </c>
      <c r="Q71" s="67"/>
      <c r="R71" s="184"/>
      <c r="S71" s="184"/>
      <c r="T71" s="83"/>
      <c r="U71" s="51">
        <f>IF(T71="","",IF(J71=1,VLOOKUP(T71,'男子種目コード'!$A$1:$B$15,2,FALSE),IF(J71=2,VLOOKUP(T71,'女子種目コード'!$A$1:$B$14,2,FALSE))))</f>
      </c>
      <c r="V71" s="73"/>
      <c r="W71" s="184"/>
      <c r="X71" s="184"/>
      <c r="Y71" s="75"/>
      <c r="Z71" s="21">
        <f>IF(Y71="","",IF(J71=1,VLOOKUP(Y71,'男子種目コード'!$A$1:$B$13,2,FALSE),IF(J71=2,VLOOKUP(Y71,'女子種目コード'!$A$1:$B$10,2,FALSE))))</f>
      </c>
      <c r="AA71" s="12"/>
      <c r="AB71" s="188"/>
      <c r="AC71" s="188"/>
      <c r="AD71" s="3"/>
      <c r="AE71" s="1">
        <f t="shared" si="8"/>
      </c>
      <c r="AF71" s="1">
        <f t="shared" si="9"/>
      </c>
      <c r="AG71" s="270">
        <f t="shared" si="24"/>
      </c>
      <c r="AH71" s="271"/>
      <c r="AI71" s="26"/>
      <c r="AJ71" s="26"/>
      <c r="AK71" s="26"/>
      <c r="AL71" s="26"/>
      <c r="AM71" s="26"/>
      <c r="AN71" s="26"/>
      <c r="AO71" s="43">
        <f t="shared" si="15"/>
        <v>0</v>
      </c>
      <c r="AP71" s="26"/>
      <c r="AQ71" s="1">
        <f t="shared" si="16"/>
        <v>0</v>
      </c>
      <c r="AR71" s="1">
        <f t="shared" si="17"/>
      </c>
      <c r="AS71" s="1">
        <f t="shared" si="18"/>
      </c>
      <c r="AT71" t="s">
        <v>90</v>
      </c>
      <c r="AU71" s="207">
        <v>2345001</v>
      </c>
      <c r="AV71" s="57" t="e">
        <f>VLOOKUPX("女子C",$A$7:$G$116,6,6)</f>
        <v>#N/A</v>
      </c>
      <c r="AY71" s="197"/>
      <c r="AZ71" s="197"/>
      <c r="BA71" s="197"/>
    </row>
    <row r="72" spans="1:53" ht="13.5">
      <c r="A72" s="99">
        <f aca="true" t="shared" si="25" ref="A72:A116">Y72</f>
        <v>0</v>
      </c>
      <c r="B72" s="97">
        <f aca="true" t="shared" si="26" ref="B72:B116">IF($D$1="","",$D$2)</f>
        <v>0</v>
      </c>
      <c r="C72" s="129"/>
      <c r="D72" s="79">
        <f>'登録DATA'!E68</f>
        <v>0</v>
      </c>
      <c r="E72" s="180"/>
      <c r="F72" s="160">
        <f>'登録DATA'!G68</f>
        <v>0</v>
      </c>
      <c r="G72" s="160">
        <f>'登録DATA'!H68</f>
        <v>0</v>
      </c>
      <c r="H72" s="156">
        <f aca="true" t="shared" si="27" ref="H72:H116">F72</f>
        <v>0</v>
      </c>
      <c r="I72" s="161">
        <f>'登録DATA'!J68</f>
        <v>0</v>
      </c>
      <c r="J72" s="155" t="b">
        <f aca="true" t="shared" si="28" ref="J72:J116">IF(I72="男",1,IF(I72=1,1,IF(I72=2,2,IF(I72="女",2))))</f>
        <v>0</v>
      </c>
      <c r="K72" s="162">
        <f>'登録DATA'!I68</f>
        <v>0</v>
      </c>
      <c r="L72" s="50"/>
      <c r="M72" s="50"/>
      <c r="N72" s="55"/>
      <c r="O72" s="83"/>
      <c r="P72" s="51">
        <f>IF(O72="","",IF(J72=1,VLOOKUP(O72,'男子種目コード'!$A$1:$B$15,2,FALSE),IF(J72=2,VLOOKUP(O72,'女子種目コード'!$A$1:$B$14,2,FALSE))))</f>
      </c>
      <c r="Q72" s="67"/>
      <c r="R72" s="184"/>
      <c r="S72" s="184"/>
      <c r="T72" s="83"/>
      <c r="U72" s="51">
        <f>IF(T72="","",IF(J72=1,VLOOKUP(T72,'男子種目コード'!$A$1:$B$15,2,FALSE),IF(J72=2,VLOOKUP(T72,'女子種目コード'!$A$1:$B$14,2,FALSE))))</f>
      </c>
      <c r="V72" s="73"/>
      <c r="W72" s="184"/>
      <c r="X72" s="184"/>
      <c r="Y72" s="75"/>
      <c r="Z72" s="21">
        <f>IF(Y72="","",IF(J72=1,VLOOKUP(Y72,'男子種目コード'!$A$1:$B$13,2,FALSE),IF(J72=2,VLOOKUP(Y72,'女子種目コード'!$A$1:$B$10,2,FALSE))))</f>
      </c>
      <c r="AA72" s="12"/>
      <c r="AB72" s="188"/>
      <c r="AC72" s="188"/>
      <c r="AD72" s="3"/>
      <c r="AE72" s="1">
        <f aca="true" t="shared" si="29" ref="AE72:AE116">IF(O72="","",1)</f>
      </c>
      <c r="AF72" s="1">
        <f aca="true" t="shared" si="30" ref="AF72:AF116">IF(T72="","",1)</f>
      </c>
      <c r="AG72" s="26"/>
      <c r="AH72" s="26"/>
      <c r="AI72" s="26"/>
      <c r="AJ72" s="26"/>
      <c r="AK72" s="26"/>
      <c r="AL72" s="26"/>
      <c r="AM72" s="26"/>
      <c r="AN72" s="26"/>
      <c r="AO72" s="43">
        <f t="shared" si="15"/>
        <v>0</v>
      </c>
      <c r="AP72" s="26"/>
      <c r="AQ72" s="1">
        <f t="shared" si="16"/>
        <v>0</v>
      </c>
      <c r="AR72" s="1">
        <f t="shared" si="17"/>
      </c>
      <c r="AS72" s="1">
        <f t="shared" si="18"/>
      </c>
      <c r="AT72" t="s">
        <v>91</v>
      </c>
      <c r="AU72" s="207">
        <v>2345002</v>
      </c>
      <c r="AY72" s="197"/>
      <c r="AZ72" s="197"/>
      <c r="BA72" s="197"/>
    </row>
    <row r="73" spans="1:53" ht="13.5">
      <c r="A73" s="99">
        <f t="shared" si="25"/>
        <v>0</v>
      </c>
      <c r="B73" s="97">
        <f t="shared" si="26"/>
        <v>0</v>
      </c>
      <c r="C73" s="129"/>
      <c r="D73" s="79">
        <f>'登録DATA'!E69</f>
        <v>0</v>
      </c>
      <c r="E73" s="180"/>
      <c r="F73" s="160">
        <f>'登録DATA'!G69</f>
        <v>0</v>
      </c>
      <c r="G73" s="160">
        <f>'登録DATA'!H69</f>
        <v>0</v>
      </c>
      <c r="H73" s="156">
        <f t="shared" si="27"/>
        <v>0</v>
      </c>
      <c r="I73" s="161">
        <f>'登録DATA'!J69</f>
        <v>0</v>
      </c>
      <c r="J73" s="155" t="b">
        <f t="shared" si="28"/>
        <v>0</v>
      </c>
      <c r="K73" s="162">
        <f>'登録DATA'!I69</f>
        <v>0</v>
      </c>
      <c r="L73" s="50"/>
      <c r="M73" s="50"/>
      <c r="N73" s="55"/>
      <c r="O73" s="83"/>
      <c r="P73" s="51">
        <f>IF(O73="","",IF(J73=1,VLOOKUP(O73,'男子種目コード'!$A$1:$B$15,2,FALSE),IF(J73=2,VLOOKUP(O73,'女子種目コード'!$A$1:$B$14,2,FALSE))))</f>
      </c>
      <c r="Q73" s="67"/>
      <c r="R73" s="184"/>
      <c r="S73" s="184"/>
      <c r="T73" s="83"/>
      <c r="U73" s="51">
        <f>IF(T73="","",IF(J73=1,VLOOKUP(T73,'男子種目コード'!$A$1:$B$15,2,FALSE),IF(J73=2,VLOOKUP(T73,'女子種目コード'!$A$1:$B$14,2,FALSE))))</f>
      </c>
      <c r="V73" s="73"/>
      <c r="W73" s="184"/>
      <c r="X73" s="184"/>
      <c r="Y73" s="75"/>
      <c r="Z73" s="21">
        <f>IF(Y73="","",IF(J73=1,VLOOKUP(Y73,'男子種目コード'!$A$1:$B$13,2,FALSE),IF(J73=2,VLOOKUP(Y73,'女子種目コード'!$A$1:$B$10,2,FALSE))))</f>
      </c>
      <c r="AA73" s="12"/>
      <c r="AB73" s="188"/>
      <c r="AC73" s="188"/>
      <c r="AD73" s="3"/>
      <c r="AE73" s="1">
        <f t="shared" si="29"/>
      </c>
      <c r="AF73" s="1">
        <f t="shared" si="30"/>
      </c>
      <c r="AG73" s="26"/>
      <c r="AH73" s="26"/>
      <c r="AI73" s="26"/>
      <c r="AJ73" s="26"/>
      <c r="AK73" s="26"/>
      <c r="AL73" s="26"/>
      <c r="AM73" s="26"/>
      <c r="AN73" s="26"/>
      <c r="AO73" s="43">
        <f aca="true" t="shared" si="31" ref="AO73:AO104">IF(OR(AE68=1,Y68=""),0,1)</f>
        <v>0</v>
      </c>
      <c r="AP73" s="26"/>
      <c r="AQ73" s="1">
        <f aca="true" t="shared" si="32" ref="AQ73:AQ104">COUNT(P68,U68)</f>
        <v>0</v>
      </c>
      <c r="AR73" s="1">
        <f t="shared" si="17"/>
      </c>
      <c r="AS73" s="1">
        <f t="shared" si="18"/>
      </c>
      <c r="AT73" t="s">
        <v>92</v>
      </c>
      <c r="AU73" s="207">
        <v>2345003</v>
      </c>
      <c r="AY73" s="197"/>
      <c r="AZ73" s="197"/>
      <c r="BA73" s="197"/>
    </row>
    <row r="74" spans="1:53" ht="13.5">
      <c r="A74" s="99">
        <f t="shared" si="25"/>
        <v>0</v>
      </c>
      <c r="B74" s="97">
        <f t="shared" si="26"/>
        <v>0</v>
      </c>
      <c r="C74" s="129"/>
      <c r="D74" s="79">
        <f>'登録DATA'!E70</f>
        <v>0</v>
      </c>
      <c r="E74" s="180"/>
      <c r="F74" s="160">
        <f>'登録DATA'!G70</f>
        <v>0</v>
      </c>
      <c r="G74" s="160">
        <f>'登録DATA'!H70</f>
        <v>0</v>
      </c>
      <c r="H74" s="156">
        <f t="shared" si="27"/>
        <v>0</v>
      </c>
      <c r="I74" s="161">
        <f>'登録DATA'!J70</f>
        <v>0</v>
      </c>
      <c r="J74" s="155" t="b">
        <f t="shared" si="28"/>
        <v>0</v>
      </c>
      <c r="K74" s="162">
        <f>'登録DATA'!I70</f>
        <v>0</v>
      </c>
      <c r="L74" s="50"/>
      <c r="M74" s="50"/>
      <c r="N74" s="55"/>
      <c r="O74" s="83"/>
      <c r="P74" s="51">
        <f>IF(O74="","",IF(J74=1,VLOOKUP(O74,'男子種目コード'!$A$1:$B$15,2,FALSE),IF(J74=2,VLOOKUP(O74,'女子種目コード'!$A$1:$B$14,2,FALSE))))</f>
      </c>
      <c r="Q74" s="67"/>
      <c r="R74" s="184"/>
      <c r="S74" s="184"/>
      <c r="T74" s="83"/>
      <c r="U74" s="51">
        <f>IF(T74="","",IF(J74=1,VLOOKUP(T74,'男子種目コード'!$A$1:$B$15,2,FALSE),IF(J74=2,VLOOKUP(T74,'女子種目コード'!$A$1:$B$14,2,FALSE))))</f>
      </c>
      <c r="V74" s="73"/>
      <c r="W74" s="184"/>
      <c r="X74" s="184"/>
      <c r="Y74" s="75"/>
      <c r="Z74" s="21">
        <f>IF(Y74="","",IF(J74=1,VLOOKUP(Y74,'男子種目コード'!$A$1:$B$13,2,FALSE),IF(J74=2,VLOOKUP(Y74,'女子種目コード'!$A$1:$B$10,2,FALSE))))</f>
      </c>
      <c r="AA74" s="12"/>
      <c r="AB74" s="188"/>
      <c r="AC74" s="188"/>
      <c r="AD74" s="3"/>
      <c r="AE74" s="1">
        <f t="shared" si="29"/>
      </c>
      <c r="AF74" s="1">
        <f t="shared" si="30"/>
      </c>
      <c r="AG74" s="26"/>
      <c r="AH74" s="26"/>
      <c r="AI74" s="26"/>
      <c r="AJ74" s="26"/>
      <c r="AK74" s="26"/>
      <c r="AL74" s="26"/>
      <c r="AM74" s="26"/>
      <c r="AN74" s="26"/>
      <c r="AO74" s="43">
        <f t="shared" si="31"/>
        <v>0</v>
      </c>
      <c r="AP74" s="26"/>
      <c r="AQ74" s="1">
        <f t="shared" si="32"/>
        <v>0</v>
      </c>
      <c r="AR74" s="1">
        <f aca="true" t="shared" si="33" ref="AR74:AR105">IF(J69=1,AQ74,"")</f>
      </c>
      <c r="AS74" s="1">
        <f aca="true" t="shared" si="34" ref="AS74:AS105">IF(J69=2,AQ74,"")</f>
      </c>
      <c r="AT74" t="s">
        <v>93</v>
      </c>
      <c r="AU74" s="207">
        <v>2345004</v>
      </c>
      <c r="AY74" s="197"/>
      <c r="AZ74" s="197"/>
      <c r="BA74" s="197"/>
    </row>
    <row r="75" spans="1:53" ht="13.5">
      <c r="A75" s="99">
        <f t="shared" si="25"/>
        <v>0</v>
      </c>
      <c r="B75" s="97">
        <f t="shared" si="26"/>
        <v>0</v>
      </c>
      <c r="C75" s="129"/>
      <c r="D75" s="79">
        <f>'登録DATA'!E71</f>
        <v>0</v>
      </c>
      <c r="E75" s="180"/>
      <c r="F75" s="160">
        <f>'登録DATA'!G71</f>
        <v>0</v>
      </c>
      <c r="G75" s="160">
        <f>'登録DATA'!H71</f>
        <v>0</v>
      </c>
      <c r="H75" s="156">
        <f t="shared" si="27"/>
        <v>0</v>
      </c>
      <c r="I75" s="161">
        <f>'登録DATA'!J71</f>
        <v>0</v>
      </c>
      <c r="J75" s="155" t="b">
        <f t="shared" si="28"/>
        <v>0</v>
      </c>
      <c r="K75" s="162">
        <f>'登録DATA'!I71</f>
        <v>0</v>
      </c>
      <c r="L75" s="50"/>
      <c r="M75" s="50"/>
      <c r="N75" s="55"/>
      <c r="O75" s="83"/>
      <c r="P75" s="51">
        <f>IF(O75="","",IF(J75=1,VLOOKUP(O75,'男子種目コード'!$A$1:$B$15,2,FALSE),IF(J75=2,VLOOKUP(O75,'女子種目コード'!$A$1:$B$14,2,FALSE))))</f>
      </c>
      <c r="Q75" s="67"/>
      <c r="R75" s="184"/>
      <c r="S75" s="184"/>
      <c r="T75" s="83"/>
      <c r="U75" s="51">
        <f>IF(T75="","",IF(J75=1,VLOOKUP(T75,'男子種目コード'!$A$1:$B$15,2,FALSE),IF(J75=2,VLOOKUP(T75,'女子種目コード'!$A$1:$B$14,2,FALSE))))</f>
      </c>
      <c r="V75" s="73"/>
      <c r="W75" s="184"/>
      <c r="X75" s="184"/>
      <c r="Y75" s="75"/>
      <c r="Z75" s="21">
        <f>IF(Y75="","",IF(J75=1,VLOOKUP(Y75,'男子種目コード'!$A$1:$B$13,2,FALSE),IF(J75=2,VLOOKUP(Y75,'女子種目コード'!$A$1:$B$10,2,FALSE))))</f>
      </c>
      <c r="AA75" s="12"/>
      <c r="AB75" s="188"/>
      <c r="AC75" s="188"/>
      <c r="AD75" s="3"/>
      <c r="AE75" s="1">
        <f t="shared" si="29"/>
      </c>
      <c r="AF75" s="1">
        <f t="shared" si="30"/>
      </c>
      <c r="AG75" s="26"/>
      <c r="AH75" s="26"/>
      <c r="AI75" s="26"/>
      <c r="AJ75" s="26"/>
      <c r="AK75" s="26"/>
      <c r="AL75" s="26"/>
      <c r="AM75" s="26"/>
      <c r="AN75" s="26"/>
      <c r="AO75" s="43">
        <f t="shared" si="31"/>
        <v>0</v>
      </c>
      <c r="AP75" s="26"/>
      <c r="AQ75" s="1">
        <f t="shared" si="32"/>
        <v>0</v>
      </c>
      <c r="AR75" s="1">
        <f t="shared" si="33"/>
      </c>
      <c r="AS75" s="1">
        <f t="shared" si="34"/>
      </c>
      <c r="AT75" t="s">
        <v>94</v>
      </c>
      <c r="AU75" s="207">
        <v>2345005</v>
      </c>
      <c r="AY75" s="197"/>
      <c r="AZ75" s="197"/>
      <c r="BA75" s="197"/>
    </row>
    <row r="76" spans="1:53" ht="13.5">
      <c r="A76" s="99">
        <f t="shared" si="25"/>
        <v>0</v>
      </c>
      <c r="B76" s="97">
        <f t="shared" si="26"/>
        <v>0</v>
      </c>
      <c r="C76" s="129"/>
      <c r="D76" s="79">
        <f>'登録DATA'!E72</f>
        <v>0</v>
      </c>
      <c r="E76" s="180"/>
      <c r="F76" s="160">
        <f>'登録DATA'!G72</f>
        <v>0</v>
      </c>
      <c r="G76" s="160">
        <f>'登録DATA'!H72</f>
        <v>0</v>
      </c>
      <c r="H76" s="156">
        <f t="shared" si="27"/>
        <v>0</v>
      </c>
      <c r="I76" s="161">
        <f>'登録DATA'!J72</f>
        <v>0</v>
      </c>
      <c r="J76" s="155" t="b">
        <f t="shared" si="28"/>
        <v>0</v>
      </c>
      <c r="K76" s="162">
        <f>'登録DATA'!I72</f>
        <v>0</v>
      </c>
      <c r="L76" s="50"/>
      <c r="M76" s="50"/>
      <c r="N76" s="55"/>
      <c r="O76" s="83"/>
      <c r="P76" s="51">
        <f>IF(O76="","",IF(J76=1,VLOOKUP(O76,'男子種目コード'!$A$1:$B$15,2,FALSE),IF(J76=2,VLOOKUP(O76,'女子種目コード'!$A$1:$B$14,2,FALSE))))</f>
      </c>
      <c r="Q76" s="67"/>
      <c r="R76" s="184"/>
      <c r="S76" s="184"/>
      <c r="T76" s="83"/>
      <c r="U76" s="51">
        <f>IF(T76="","",IF(J76=1,VLOOKUP(T76,'男子種目コード'!$A$1:$B$15,2,FALSE),IF(J76=2,VLOOKUP(T76,'女子種目コード'!$A$1:$B$14,2,FALSE))))</f>
      </c>
      <c r="V76" s="73"/>
      <c r="W76" s="184"/>
      <c r="X76" s="184"/>
      <c r="Y76" s="75"/>
      <c r="Z76" s="21">
        <f>IF(Y76="","",IF(J76=1,VLOOKUP(Y76,'男子種目コード'!$A$1:$B$13,2,FALSE),IF(J76=2,VLOOKUP(Y76,'女子種目コード'!$A$1:$B$10,2,FALSE))))</f>
      </c>
      <c r="AA76" s="12"/>
      <c r="AB76" s="188"/>
      <c r="AC76" s="188"/>
      <c r="AD76" s="3"/>
      <c r="AE76" s="1">
        <f t="shared" si="29"/>
      </c>
      <c r="AF76" s="1">
        <f t="shared" si="30"/>
      </c>
      <c r="AG76" s="26"/>
      <c r="AH76" s="26"/>
      <c r="AI76" s="26"/>
      <c r="AJ76" s="26"/>
      <c r="AK76" s="26"/>
      <c r="AL76" s="26"/>
      <c r="AM76" s="26"/>
      <c r="AN76" s="26"/>
      <c r="AO76" s="43">
        <f t="shared" si="31"/>
        <v>0</v>
      </c>
      <c r="AP76" s="26"/>
      <c r="AQ76" s="1">
        <f t="shared" si="32"/>
        <v>0</v>
      </c>
      <c r="AR76" s="1">
        <f t="shared" si="33"/>
      </c>
      <c r="AS76" s="1">
        <f t="shared" si="34"/>
      </c>
      <c r="AT76" t="s">
        <v>95</v>
      </c>
      <c r="AU76" s="207">
        <v>2345006</v>
      </c>
      <c r="AY76" s="197"/>
      <c r="AZ76" s="197"/>
      <c r="BA76" s="197"/>
    </row>
    <row r="77" spans="1:53" ht="13.5">
      <c r="A77" s="99">
        <f t="shared" si="25"/>
        <v>0</v>
      </c>
      <c r="B77" s="97">
        <f t="shared" si="26"/>
        <v>0</v>
      </c>
      <c r="C77" s="129"/>
      <c r="D77" s="79">
        <f>'登録DATA'!E73</f>
        <v>0</v>
      </c>
      <c r="E77" s="180"/>
      <c r="F77" s="160">
        <f>'登録DATA'!G73</f>
        <v>0</v>
      </c>
      <c r="G77" s="160">
        <f>'登録DATA'!H73</f>
        <v>0</v>
      </c>
      <c r="H77" s="156">
        <f t="shared" si="27"/>
        <v>0</v>
      </c>
      <c r="I77" s="161">
        <f>'登録DATA'!J73</f>
        <v>0</v>
      </c>
      <c r="J77" s="155" t="b">
        <f t="shared" si="28"/>
        <v>0</v>
      </c>
      <c r="K77" s="162">
        <f>'登録DATA'!I73</f>
        <v>0</v>
      </c>
      <c r="L77" s="50"/>
      <c r="M77" s="50"/>
      <c r="N77" s="55"/>
      <c r="O77" s="83"/>
      <c r="P77" s="51">
        <f>IF(O77="","",IF(J77=1,VLOOKUP(O77,'男子種目コード'!$A$1:$B$15,2,FALSE),IF(J77=2,VLOOKUP(O77,'女子種目コード'!$A$1:$B$14,2,FALSE))))</f>
      </c>
      <c r="Q77" s="67"/>
      <c r="R77" s="184"/>
      <c r="S77" s="184"/>
      <c r="T77" s="83"/>
      <c r="U77" s="51">
        <f>IF(T77="","",IF(J77=1,VLOOKUP(T77,'男子種目コード'!$A$1:$B$15,2,FALSE),IF(J77=2,VLOOKUP(T77,'女子種目コード'!$A$1:$B$14,2,FALSE))))</f>
      </c>
      <c r="V77" s="73"/>
      <c r="W77" s="184"/>
      <c r="X77" s="184"/>
      <c r="Y77" s="75"/>
      <c r="Z77" s="21">
        <f>IF(Y77="","",IF(J77=1,VLOOKUP(Y77,'男子種目コード'!$A$1:$B$13,2,FALSE),IF(J77=2,VLOOKUP(Y77,'女子種目コード'!$A$1:$B$10,2,FALSE))))</f>
      </c>
      <c r="AA77" s="12"/>
      <c r="AB77" s="188"/>
      <c r="AC77" s="188"/>
      <c r="AD77" s="3"/>
      <c r="AE77" s="1">
        <f t="shared" si="29"/>
      </c>
      <c r="AF77" s="1">
        <f t="shared" si="30"/>
      </c>
      <c r="AG77" s="26"/>
      <c r="AH77" s="26"/>
      <c r="AI77" s="26"/>
      <c r="AJ77" s="26"/>
      <c r="AK77" s="26"/>
      <c r="AL77" s="26"/>
      <c r="AM77" s="26"/>
      <c r="AN77" s="26"/>
      <c r="AO77" s="43">
        <f t="shared" si="31"/>
        <v>0</v>
      </c>
      <c r="AP77" s="26"/>
      <c r="AQ77" s="1">
        <f t="shared" si="32"/>
        <v>0</v>
      </c>
      <c r="AR77" s="1">
        <f t="shared" si="33"/>
      </c>
      <c r="AS77" s="1">
        <f t="shared" si="34"/>
      </c>
      <c r="AT77" t="s">
        <v>96</v>
      </c>
      <c r="AU77" s="207">
        <v>2345007</v>
      </c>
      <c r="AY77" s="197"/>
      <c r="AZ77" s="197"/>
      <c r="BA77" s="197"/>
    </row>
    <row r="78" spans="1:53" ht="13.5">
      <c r="A78" s="99">
        <f t="shared" si="25"/>
        <v>0</v>
      </c>
      <c r="B78" s="97">
        <f t="shared" si="26"/>
        <v>0</v>
      </c>
      <c r="C78" s="129"/>
      <c r="D78" s="79">
        <f>'登録DATA'!E74</f>
        <v>0</v>
      </c>
      <c r="E78" s="180"/>
      <c r="F78" s="160">
        <f>'登録DATA'!G74</f>
        <v>0</v>
      </c>
      <c r="G78" s="160">
        <f>'登録DATA'!H74</f>
        <v>0</v>
      </c>
      <c r="H78" s="156">
        <f t="shared" si="27"/>
        <v>0</v>
      </c>
      <c r="I78" s="161">
        <f>'登録DATA'!J74</f>
        <v>0</v>
      </c>
      <c r="J78" s="155" t="b">
        <f t="shared" si="28"/>
        <v>0</v>
      </c>
      <c r="K78" s="162">
        <f>'登録DATA'!I74</f>
        <v>0</v>
      </c>
      <c r="L78" s="50"/>
      <c r="M78" s="50"/>
      <c r="N78" s="55"/>
      <c r="O78" s="83"/>
      <c r="P78" s="51">
        <f>IF(O78="","",IF(J78=1,VLOOKUP(O78,'男子種目コード'!$A$1:$B$15,2,FALSE),IF(J78=2,VLOOKUP(O78,'女子種目コード'!$A$1:$B$14,2,FALSE))))</f>
      </c>
      <c r="Q78" s="67"/>
      <c r="R78" s="184"/>
      <c r="S78" s="184"/>
      <c r="T78" s="83"/>
      <c r="U78" s="51">
        <f>IF(T78="","",IF(J78=1,VLOOKUP(T78,'男子種目コード'!$A$1:$B$15,2,FALSE),IF(J78=2,VLOOKUP(T78,'女子種目コード'!$A$1:$B$14,2,FALSE))))</f>
      </c>
      <c r="V78" s="73"/>
      <c r="W78" s="184"/>
      <c r="X78" s="184"/>
      <c r="Y78" s="75"/>
      <c r="Z78" s="21">
        <f>IF(Y78="","",IF(J78=1,VLOOKUP(Y78,'男子種目コード'!$A$1:$B$13,2,FALSE),IF(J78=2,VLOOKUP(Y78,'女子種目コード'!$A$1:$B$10,2,FALSE))))</f>
      </c>
      <c r="AA78" s="12"/>
      <c r="AB78" s="188"/>
      <c r="AC78" s="188"/>
      <c r="AD78" s="3"/>
      <c r="AE78" s="1">
        <f t="shared" si="29"/>
      </c>
      <c r="AF78" s="1">
        <f t="shared" si="30"/>
      </c>
      <c r="AG78" s="26"/>
      <c r="AH78" s="26"/>
      <c r="AI78" s="26"/>
      <c r="AJ78" s="26"/>
      <c r="AK78" s="26"/>
      <c r="AL78" s="26"/>
      <c r="AM78" s="26"/>
      <c r="AN78" s="26"/>
      <c r="AO78" s="43">
        <f t="shared" si="31"/>
        <v>0</v>
      </c>
      <c r="AP78" s="26"/>
      <c r="AQ78" s="1">
        <f t="shared" si="32"/>
        <v>0</v>
      </c>
      <c r="AR78" s="1">
        <f t="shared" si="33"/>
      </c>
      <c r="AS78" s="1">
        <f t="shared" si="34"/>
      </c>
      <c r="AT78" t="s">
        <v>97</v>
      </c>
      <c r="AU78" s="207">
        <v>2345008</v>
      </c>
      <c r="AY78" s="197"/>
      <c r="AZ78" s="197"/>
      <c r="BA78" s="197"/>
    </row>
    <row r="79" spans="1:53" ht="13.5">
      <c r="A79" s="99">
        <f t="shared" si="25"/>
        <v>0</v>
      </c>
      <c r="B79" s="97">
        <f t="shared" si="26"/>
        <v>0</v>
      </c>
      <c r="C79" s="129"/>
      <c r="D79" s="79">
        <f>'登録DATA'!E75</f>
        <v>0</v>
      </c>
      <c r="E79" s="180"/>
      <c r="F79" s="160">
        <f>'登録DATA'!G75</f>
        <v>0</v>
      </c>
      <c r="G79" s="160">
        <f>'登録DATA'!H75</f>
        <v>0</v>
      </c>
      <c r="H79" s="156">
        <f t="shared" si="27"/>
        <v>0</v>
      </c>
      <c r="I79" s="161">
        <f>'登録DATA'!J75</f>
        <v>0</v>
      </c>
      <c r="J79" s="155" t="b">
        <f t="shared" si="28"/>
        <v>0</v>
      </c>
      <c r="K79" s="162">
        <f>'登録DATA'!I75</f>
        <v>0</v>
      </c>
      <c r="L79" s="50"/>
      <c r="M79" s="50"/>
      <c r="N79" s="55"/>
      <c r="O79" s="83"/>
      <c r="P79" s="51">
        <f>IF(O79="","",IF(J79=1,VLOOKUP(O79,'男子種目コード'!$A$1:$B$15,2,FALSE),IF(J79=2,VLOOKUP(O79,'女子種目コード'!$A$1:$B$14,2,FALSE))))</f>
      </c>
      <c r="Q79" s="67"/>
      <c r="R79" s="184"/>
      <c r="S79" s="184"/>
      <c r="T79" s="83"/>
      <c r="U79" s="51">
        <f>IF(T79="","",IF(J79=1,VLOOKUP(T79,'男子種目コード'!$A$1:$B$15,2,FALSE),IF(J79=2,VLOOKUP(T79,'女子種目コード'!$A$1:$B$14,2,FALSE))))</f>
      </c>
      <c r="V79" s="73"/>
      <c r="W79" s="184"/>
      <c r="X79" s="184"/>
      <c r="Y79" s="75"/>
      <c r="Z79" s="21">
        <f>IF(Y79="","",IF(J79=1,VLOOKUP(Y79,'男子種目コード'!$A$1:$B$13,2,FALSE),IF(J79=2,VLOOKUP(Y79,'女子種目コード'!$A$1:$B$10,2,FALSE))))</f>
      </c>
      <c r="AA79" s="12"/>
      <c r="AB79" s="188"/>
      <c r="AC79" s="188"/>
      <c r="AD79" s="3"/>
      <c r="AE79" s="1">
        <f t="shared" si="29"/>
      </c>
      <c r="AF79" s="1">
        <f t="shared" si="30"/>
      </c>
      <c r="AG79" s="26"/>
      <c r="AH79" s="26"/>
      <c r="AI79" s="26"/>
      <c r="AJ79" s="26"/>
      <c r="AK79" s="26"/>
      <c r="AL79" s="26"/>
      <c r="AM79" s="26"/>
      <c r="AN79" s="26"/>
      <c r="AO79" s="43">
        <f t="shared" si="31"/>
        <v>0</v>
      </c>
      <c r="AP79" s="26"/>
      <c r="AQ79" s="1">
        <f t="shared" si="32"/>
        <v>0</v>
      </c>
      <c r="AR79" s="1">
        <f t="shared" si="33"/>
      </c>
      <c r="AS79" s="1">
        <f t="shared" si="34"/>
      </c>
      <c r="AT79" t="s">
        <v>98</v>
      </c>
      <c r="AU79" s="207">
        <v>2345009</v>
      </c>
      <c r="AY79" s="197"/>
      <c r="AZ79" s="197"/>
      <c r="BA79" s="197"/>
    </row>
    <row r="80" spans="1:53" ht="13.5">
      <c r="A80" s="99">
        <f t="shared" si="25"/>
        <v>0</v>
      </c>
      <c r="B80" s="97">
        <f t="shared" si="26"/>
        <v>0</v>
      </c>
      <c r="C80" s="129"/>
      <c r="D80" s="79">
        <f>'登録DATA'!E76</f>
        <v>0</v>
      </c>
      <c r="E80" s="180"/>
      <c r="F80" s="160">
        <f>'登録DATA'!G76</f>
        <v>0</v>
      </c>
      <c r="G80" s="160">
        <f>'登録DATA'!H76</f>
        <v>0</v>
      </c>
      <c r="H80" s="156">
        <f t="shared" si="27"/>
        <v>0</v>
      </c>
      <c r="I80" s="161">
        <f>'登録DATA'!J76</f>
        <v>0</v>
      </c>
      <c r="J80" s="155" t="b">
        <f t="shared" si="28"/>
        <v>0</v>
      </c>
      <c r="K80" s="162">
        <f>'登録DATA'!I76</f>
        <v>0</v>
      </c>
      <c r="L80" s="50"/>
      <c r="M80" s="50"/>
      <c r="N80" s="55"/>
      <c r="O80" s="83"/>
      <c r="P80" s="51">
        <f>IF(O80="","",IF(J80=1,VLOOKUP(O80,'男子種目コード'!$A$1:$B$15,2,FALSE),IF(J80=2,VLOOKUP(O80,'女子種目コード'!$A$1:$B$14,2,FALSE))))</f>
      </c>
      <c r="Q80" s="67"/>
      <c r="R80" s="184"/>
      <c r="S80" s="184"/>
      <c r="T80" s="83"/>
      <c r="U80" s="51">
        <f>IF(T80="","",IF(J80=1,VLOOKUP(T80,'男子種目コード'!$A$1:$B$15,2,FALSE),IF(J80=2,VLOOKUP(T80,'女子種目コード'!$A$1:$B$14,2,FALSE))))</f>
      </c>
      <c r="V80" s="73"/>
      <c r="W80" s="184"/>
      <c r="X80" s="184"/>
      <c r="Y80" s="75"/>
      <c r="Z80" s="21">
        <f>IF(Y80="","",IF(J80=1,VLOOKUP(Y80,'男子種目コード'!$A$1:$B$13,2,FALSE),IF(J80=2,VLOOKUP(Y80,'女子種目コード'!$A$1:$B$10,2,FALSE))))</f>
      </c>
      <c r="AA80" s="12"/>
      <c r="AB80" s="188"/>
      <c r="AC80" s="188"/>
      <c r="AD80" s="3"/>
      <c r="AE80" s="1">
        <f t="shared" si="29"/>
      </c>
      <c r="AF80" s="1">
        <f t="shared" si="30"/>
      </c>
      <c r="AG80" s="26"/>
      <c r="AH80" s="26"/>
      <c r="AI80" s="26"/>
      <c r="AJ80" s="26"/>
      <c r="AK80" s="26"/>
      <c r="AL80" s="26"/>
      <c r="AM80" s="26"/>
      <c r="AN80" s="26"/>
      <c r="AO80" s="43">
        <f t="shared" si="31"/>
        <v>0</v>
      </c>
      <c r="AP80" s="26"/>
      <c r="AQ80" s="1">
        <f t="shared" si="32"/>
        <v>0</v>
      </c>
      <c r="AR80" s="1">
        <f t="shared" si="33"/>
      </c>
      <c r="AS80" s="1">
        <f t="shared" si="34"/>
      </c>
      <c r="AT80" t="s">
        <v>99</v>
      </c>
      <c r="AU80" s="207">
        <v>2345010</v>
      </c>
      <c r="AY80" s="197"/>
      <c r="AZ80" s="197"/>
      <c r="BA80" s="197"/>
    </row>
    <row r="81" spans="1:53" ht="13.5">
      <c r="A81" s="99">
        <f t="shared" si="25"/>
        <v>0</v>
      </c>
      <c r="B81" s="97">
        <f t="shared" si="26"/>
        <v>0</v>
      </c>
      <c r="C81" s="129"/>
      <c r="D81" s="79">
        <f>'登録DATA'!E77</f>
        <v>0</v>
      </c>
      <c r="E81" s="180"/>
      <c r="F81" s="160">
        <f>'登録DATA'!G77</f>
        <v>0</v>
      </c>
      <c r="G81" s="160">
        <f>'登録DATA'!H77</f>
        <v>0</v>
      </c>
      <c r="H81" s="156">
        <f t="shared" si="27"/>
        <v>0</v>
      </c>
      <c r="I81" s="161">
        <f>'登録DATA'!J77</f>
        <v>0</v>
      </c>
      <c r="J81" s="155" t="b">
        <f t="shared" si="28"/>
        <v>0</v>
      </c>
      <c r="K81" s="162">
        <f>'登録DATA'!I77</f>
        <v>0</v>
      </c>
      <c r="L81" s="50"/>
      <c r="M81" s="50"/>
      <c r="N81" s="55"/>
      <c r="O81" s="83"/>
      <c r="P81" s="51">
        <f>IF(O81="","",IF(J81=1,VLOOKUP(O81,'男子種目コード'!$A$1:$B$15,2,FALSE),IF(J81=2,VLOOKUP(O81,'女子種目コード'!$A$1:$B$14,2,FALSE))))</f>
      </c>
      <c r="Q81" s="67"/>
      <c r="R81" s="184"/>
      <c r="S81" s="184"/>
      <c r="T81" s="83"/>
      <c r="U81" s="51">
        <f>IF(T81="","",IF(J81=1,VLOOKUP(T81,'男子種目コード'!$A$1:$B$15,2,FALSE),IF(J81=2,VLOOKUP(T81,'女子種目コード'!$A$1:$B$14,2,FALSE))))</f>
      </c>
      <c r="V81" s="73"/>
      <c r="W81" s="184"/>
      <c r="X81" s="184"/>
      <c r="Y81" s="75"/>
      <c r="Z81" s="21">
        <f>IF(Y81="","",IF(J81=1,VLOOKUP(Y81,'男子種目コード'!$A$1:$B$13,2,FALSE),IF(J81=2,VLOOKUP(Y81,'女子種目コード'!$A$1:$B$10,2,FALSE))))</f>
      </c>
      <c r="AA81" s="12"/>
      <c r="AB81" s="188"/>
      <c r="AC81" s="188"/>
      <c r="AD81" s="3"/>
      <c r="AE81" s="1">
        <f t="shared" si="29"/>
      </c>
      <c r="AF81" s="1">
        <f t="shared" si="30"/>
      </c>
      <c r="AG81" s="26"/>
      <c r="AH81" s="26"/>
      <c r="AI81" s="26"/>
      <c r="AJ81" s="26"/>
      <c r="AK81" s="26"/>
      <c r="AL81" s="26"/>
      <c r="AM81" s="26"/>
      <c r="AN81" s="26"/>
      <c r="AO81" s="43">
        <f t="shared" si="31"/>
        <v>0</v>
      </c>
      <c r="AP81" s="26"/>
      <c r="AQ81" s="1">
        <f t="shared" si="32"/>
        <v>0</v>
      </c>
      <c r="AR81" s="1">
        <f t="shared" si="33"/>
      </c>
      <c r="AS81" s="1">
        <f t="shared" si="34"/>
      </c>
      <c r="AT81" t="s">
        <v>100</v>
      </c>
      <c r="AU81" s="207">
        <v>2345011</v>
      </c>
      <c r="AY81" s="197"/>
      <c r="AZ81" s="197"/>
      <c r="BA81" s="197"/>
    </row>
    <row r="82" spans="1:53" ht="13.5">
      <c r="A82" s="99">
        <f t="shared" si="25"/>
        <v>0</v>
      </c>
      <c r="B82" s="97">
        <f t="shared" si="26"/>
        <v>0</v>
      </c>
      <c r="C82" s="129"/>
      <c r="D82" s="79">
        <f>'登録DATA'!E78</f>
        <v>0</v>
      </c>
      <c r="E82" s="180"/>
      <c r="F82" s="160">
        <f>'登録DATA'!G78</f>
        <v>0</v>
      </c>
      <c r="G82" s="160">
        <f>'登録DATA'!H78</f>
        <v>0</v>
      </c>
      <c r="H82" s="156">
        <f t="shared" si="27"/>
        <v>0</v>
      </c>
      <c r="I82" s="161">
        <f>'登録DATA'!J78</f>
        <v>0</v>
      </c>
      <c r="J82" s="155" t="b">
        <f t="shared" si="28"/>
        <v>0</v>
      </c>
      <c r="K82" s="162">
        <f>'登録DATA'!I78</f>
        <v>0</v>
      </c>
      <c r="L82" s="50"/>
      <c r="M82" s="50"/>
      <c r="N82" s="55"/>
      <c r="O82" s="83"/>
      <c r="P82" s="51">
        <f>IF(O82="","",IF(J82=1,VLOOKUP(O82,'男子種目コード'!$A$1:$B$15,2,FALSE),IF(J82=2,VLOOKUP(O82,'女子種目コード'!$A$1:$B$14,2,FALSE))))</f>
      </c>
      <c r="Q82" s="67"/>
      <c r="R82" s="184"/>
      <c r="S82" s="184"/>
      <c r="T82" s="83"/>
      <c r="U82" s="51">
        <f>IF(T82="","",IF(J82=1,VLOOKUP(T82,'男子種目コード'!$A$1:$B$15,2,FALSE),IF(J82=2,VLOOKUP(T82,'女子種目コード'!$A$1:$B$14,2,FALSE))))</f>
      </c>
      <c r="V82" s="73"/>
      <c r="W82" s="184"/>
      <c r="X82" s="184"/>
      <c r="Y82" s="75"/>
      <c r="Z82" s="21">
        <f>IF(Y82="","",IF(J82=1,VLOOKUP(Y82,'男子種目コード'!$A$1:$B$13,2,FALSE),IF(J82=2,VLOOKUP(Y82,'女子種目コード'!$A$1:$B$10,2,FALSE))))</f>
      </c>
      <c r="AA82" s="12"/>
      <c r="AB82" s="188"/>
      <c r="AC82" s="188"/>
      <c r="AD82" s="3"/>
      <c r="AE82" s="1">
        <f t="shared" si="29"/>
      </c>
      <c r="AF82" s="1">
        <f t="shared" si="30"/>
      </c>
      <c r="AG82" s="26"/>
      <c r="AH82" s="26"/>
      <c r="AI82" s="26"/>
      <c r="AJ82" s="26"/>
      <c r="AK82" s="26"/>
      <c r="AL82" s="26"/>
      <c r="AM82" s="26"/>
      <c r="AN82" s="26"/>
      <c r="AO82" s="43">
        <f t="shared" si="31"/>
        <v>0</v>
      </c>
      <c r="AP82" s="26"/>
      <c r="AQ82" s="1">
        <f t="shared" si="32"/>
        <v>0</v>
      </c>
      <c r="AR82" s="1">
        <f t="shared" si="33"/>
      </c>
      <c r="AS82" s="1">
        <f t="shared" si="34"/>
      </c>
      <c r="AT82" t="s">
        <v>101</v>
      </c>
      <c r="AU82" s="207">
        <v>2345012</v>
      </c>
      <c r="AY82" s="197"/>
      <c r="AZ82" s="197"/>
      <c r="BA82" s="197"/>
    </row>
    <row r="83" spans="1:53" ht="13.5">
      <c r="A83" s="99">
        <f t="shared" si="25"/>
        <v>0</v>
      </c>
      <c r="B83" s="97">
        <f t="shared" si="26"/>
        <v>0</v>
      </c>
      <c r="C83" s="129"/>
      <c r="D83" s="79">
        <f>'登録DATA'!E79</f>
        <v>0</v>
      </c>
      <c r="E83" s="180"/>
      <c r="F83" s="160">
        <f>'登録DATA'!G79</f>
        <v>0</v>
      </c>
      <c r="G83" s="160">
        <f>'登録DATA'!H79</f>
        <v>0</v>
      </c>
      <c r="H83" s="156">
        <f t="shared" si="27"/>
        <v>0</v>
      </c>
      <c r="I83" s="161">
        <f>'登録DATA'!J79</f>
        <v>0</v>
      </c>
      <c r="J83" s="155" t="b">
        <f t="shared" si="28"/>
        <v>0</v>
      </c>
      <c r="K83" s="162">
        <f>'登録DATA'!I79</f>
        <v>0</v>
      </c>
      <c r="L83" s="50"/>
      <c r="M83" s="50"/>
      <c r="N83" s="55"/>
      <c r="O83" s="83"/>
      <c r="P83" s="51">
        <f>IF(O83="","",IF(J83=1,VLOOKUP(O83,'男子種目コード'!$A$1:$B$15,2,FALSE),IF(J83=2,VLOOKUP(O83,'女子種目コード'!$A$1:$B$14,2,FALSE))))</f>
      </c>
      <c r="Q83" s="67"/>
      <c r="R83" s="184"/>
      <c r="S83" s="184"/>
      <c r="T83" s="83"/>
      <c r="U83" s="51">
        <f>IF(T83="","",IF(J83=1,VLOOKUP(T83,'男子種目コード'!$A$1:$B$15,2,FALSE),IF(J83=2,VLOOKUP(T83,'女子種目コード'!$A$1:$B$14,2,FALSE))))</f>
      </c>
      <c r="V83" s="73"/>
      <c r="W83" s="184"/>
      <c r="X83" s="184"/>
      <c r="Y83" s="75"/>
      <c r="Z83" s="21">
        <f>IF(Y83="","",IF(J83=1,VLOOKUP(Y83,'男子種目コード'!$A$1:$B$13,2,FALSE),IF(J83=2,VLOOKUP(Y83,'女子種目コード'!$A$1:$B$10,2,FALSE))))</f>
      </c>
      <c r="AA83" s="12"/>
      <c r="AB83" s="188"/>
      <c r="AC83" s="188"/>
      <c r="AD83" s="3"/>
      <c r="AE83" s="1">
        <f t="shared" si="29"/>
      </c>
      <c r="AF83" s="1">
        <f t="shared" si="30"/>
      </c>
      <c r="AG83" s="26"/>
      <c r="AH83" s="26"/>
      <c r="AI83" s="26"/>
      <c r="AJ83" s="26"/>
      <c r="AK83" s="26"/>
      <c r="AL83" s="26"/>
      <c r="AM83" s="26"/>
      <c r="AN83" s="26"/>
      <c r="AO83" s="43">
        <f t="shared" si="31"/>
        <v>0</v>
      </c>
      <c r="AP83" s="26"/>
      <c r="AQ83" s="1">
        <f t="shared" si="32"/>
        <v>0</v>
      </c>
      <c r="AR83" s="1">
        <f t="shared" si="33"/>
      </c>
      <c r="AS83" s="1">
        <f t="shared" si="34"/>
      </c>
      <c r="AT83" t="s">
        <v>102</v>
      </c>
      <c r="AU83" s="207">
        <v>2345013</v>
      </c>
      <c r="AY83" s="197"/>
      <c r="AZ83" s="197"/>
      <c r="BA83" s="197"/>
    </row>
    <row r="84" spans="1:53" ht="13.5">
      <c r="A84" s="99">
        <f t="shared" si="25"/>
        <v>0</v>
      </c>
      <c r="B84" s="97">
        <f t="shared" si="26"/>
        <v>0</v>
      </c>
      <c r="C84" s="129"/>
      <c r="D84" s="79">
        <f>'登録DATA'!E80</f>
        <v>0</v>
      </c>
      <c r="E84" s="180"/>
      <c r="F84" s="160">
        <f>'登録DATA'!G80</f>
        <v>0</v>
      </c>
      <c r="G84" s="160">
        <f>'登録DATA'!H80</f>
        <v>0</v>
      </c>
      <c r="H84" s="156">
        <f t="shared" si="27"/>
        <v>0</v>
      </c>
      <c r="I84" s="161">
        <f>'登録DATA'!J80</f>
        <v>0</v>
      </c>
      <c r="J84" s="155" t="b">
        <f t="shared" si="28"/>
        <v>0</v>
      </c>
      <c r="K84" s="162">
        <f>'登録DATA'!I80</f>
        <v>0</v>
      </c>
      <c r="L84" s="50"/>
      <c r="M84" s="50"/>
      <c r="N84" s="55"/>
      <c r="O84" s="83"/>
      <c r="P84" s="51">
        <f>IF(O84="","",IF(J84=1,VLOOKUP(O84,'男子種目コード'!$A$1:$B$15,2,FALSE),IF(J84=2,VLOOKUP(O84,'女子種目コード'!$A$1:$B$14,2,FALSE))))</f>
      </c>
      <c r="Q84" s="67"/>
      <c r="R84" s="184"/>
      <c r="S84" s="184"/>
      <c r="T84" s="83"/>
      <c r="U84" s="51">
        <f>IF(T84="","",IF(J84=1,VLOOKUP(T84,'男子種目コード'!$A$1:$B$15,2,FALSE),IF(J84=2,VLOOKUP(T84,'女子種目コード'!$A$1:$B$14,2,FALSE))))</f>
      </c>
      <c r="V84" s="73"/>
      <c r="W84" s="184"/>
      <c r="X84" s="184"/>
      <c r="Y84" s="75"/>
      <c r="Z84" s="21">
        <f>IF(Y84="","",IF(J84=1,VLOOKUP(Y84,'男子種目コード'!$A$1:$B$13,2,FALSE),IF(J84=2,VLOOKUP(Y84,'女子種目コード'!$A$1:$B$10,2,FALSE))))</f>
      </c>
      <c r="AA84" s="12"/>
      <c r="AB84" s="188"/>
      <c r="AC84" s="188"/>
      <c r="AD84" s="3"/>
      <c r="AE84" s="1">
        <f t="shared" si="29"/>
      </c>
      <c r="AF84" s="1">
        <f t="shared" si="30"/>
      </c>
      <c r="AG84" s="26"/>
      <c r="AH84" s="26"/>
      <c r="AI84" s="26"/>
      <c r="AJ84" s="26"/>
      <c r="AK84" s="26"/>
      <c r="AL84" s="26"/>
      <c r="AM84" s="26"/>
      <c r="AN84" s="26"/>
      <c r="AO84" s="43">
        <f t="shared" si="31"/>
        <v>0</v>
      </c>
      <c r="AP84" s="26"/>
      <c r="AQ84" s="1">
        <f t="shared" si="32"/>
        <v>0</v>
      </c>
      <c r="AR84" s="1">
        <f t="shared" si="33"/>
      </c>
      <c r="AS84" s="1">
        <f t="shared" si="34"/>
      </c>
      <c r="AT84" t="s">
        <v>103</v>
      </c>
      <c r="AU84" s="207">
        <v>2345014</v>
      </c>
      <c r="AY84" s="197"/>
      <c r="AZ84" s="197"/>
      <c r="BA84" s="197"/>
    </row>
    <row r="85" spans="1:53" ht="13.5">
      <c r="A85" s="99">
        <f t="shared" si="25"/>
        <v>0</v>
      </c>
      <c r="B85" s="97">
        <f t="shared" si="26"/>
        <v>0</v>
      </c>
      <c r="C85" s="129"/>
      <c r="D85" s="79">
        <f>'登録DATA'!E81</f>
        <v>0</v>
      </c>
      <c r="E85" s="180"/>
      <c r="F85" s="160">
        <f>'登録DATA'!G81</f>
        <v>0</v>
      </c>
      <c r="G85" s="160">
        <f>'登録DATA'!H81</f>
        <v>0</v>
      </c>
      <c r="H85" s="156">
        <f t="shared" si="27"/>
        <v>0</v>
      </c>
      <c r="I85" s="161">
        <f>'登録DATA'!J81</f>
        <v>0</v>
      </c>
      <c r="J85" s="155" t="b">
        <f t="shared" si="28"/>
        <v>0</v>
      </c>
      <c r="K85" s="162">
        <f>'登録DATA'!I81</f>
        <v>0</v>
      </c>
      <c r="L85" s="50"/>
      <c r="M85" s="50"/>
      <c r="N85" s="55"/>
      <c r="O85" s="83"/>
      <c r="P85" s="51">
        <f>IF(O85="","",IF(J85=1,VLOOKUP(O85,'男子種目コード'!$A$1:$B$15,2,FALSE),IF(J85=2,VLOOKUP(O85,'女子種目コード'!$A$1:$B$14,2,FALSE))))</f>
      </c>
      <c r="Q85" s="67"/>
      <c r="R85" s="184"/>
      <c r="S85" s="184"/>
      <c r="T85" s="83"/>
      <c r="U85" s="51">
        <f>IF(T85="","",IF(J85=1,VLOOKUP(T85,'男子種目コード'!$A$1:$B$15,2,FALSE),IF(J85=2,VLOOKUP(T85,'女子種目コード'!$A$1:$B$14,2,FALSE))))</f>
      </c>
      <c r="V85" s="73"/>
      <c r="W85" s="184"/>
      <c r="X85" s="184"/>
      <c r="Y85" s="75"/>
      <c r="Z85" s="21">
        <f>IF(Y85="","",IF(J85=1,VLOOKUP(Y85,'男子種目コード'!$A$1:$B$13,2,FALSE),IF(J85=2,VLOOKUP(Y85,'女子種目コード'!$A$1:$B$10,2,FALSE))))</f>
      </c>
      <c r="AA85" s="12"/>
      <c r="AB85" s="188"/>
      <c r="AC85" s="188"/>
      <c r="AD85" s="3"/>
      <c r="AE85" s="1">
        <f t="shared" si="29"/>
      </c>
      <c r="AF85" s="1">
        <f t="shared" si="30"/>
      </c>
      <c r="AG85" s="26"/>
      <c r="AH85" s="26"/>
      <c r="AI85" s="26"/>
      <c r="AJ85" s="26"/>
      <c r="AK85" s="26"/>
      <c r="AL85" s="26"/>
      <c r="AM85" s="26"/>
      <c r="AN85" s="26"/>
      <c r="AO85" s="43">
        <f t="shared" si="31"/>
        <v>0</v>
      </c>
      <c r="AP85" s="26"/>
      <c r="AQ85" s="1">
        <f t="shared" si="32"/>
        <v>0</v>
      </c>
      <c r="AR85" s="1">
        <f t="shared" si="33"/>
      </c>
      <c r="AS85" s="1">
        <f t="shared" si="34"/>
      </c>
      <c r="AT85" t="s">
        <v>104</v>
      </c>
      <c r="AU85" s="207">
        <v>2345015</v>
      </c>
      <c r="AY85" s="197"/>
      <c r="AZ85" s="197"/>
      <c r="BA85" s="197"/>
    </row>
    <row r="86" spans="1:53" ht="13.5">
      <c r="A86" s="99">
        <f t="shared" si="25"/>
        <v>0</v>
      </c>
      <c r="B86" s="97">
        <f t="shared" si="26"/>
        <v>0</v>
      </c>
      <c r="C86" s="129"/>
      <c r="D86" s="79">
        <f>'登録DATA'!E82</f>
        <v>0</v>
      </c>
      <c r="E86" s="180"/>
      <c r="F86" s="160">
        <f>'登録DATA'!G82</f>
        <v>0</v>
      </c>
      <c r="G86" s="160">
        <f>'登録DATA'!H82</f>
        <v>0</v>
      </c>
      <c r="H86" s="156">
        <f t="shared" si="27"/>
        <v>0</v>
      </c>
      <c r="I86" s="161">
        <f>'登録DATA'!J82</f>
        <v>0</v>
      </c>
      <c r="J86" s="155" t="b">
        <f t="shared" si="28"/>
        <v>0</v>
      </c>
      <c r="K86" s="162">
        <f>'登録DATA'!I82</f>
        <v>0</v>
      </c>
      <c r="L86" s="50"/>
      <c r="M86" s="50"/>
      <c r="N86" s="55"/>
      <c r="O86" s="83"/>
      <c r="P86" s="51">
        <f>IF(O86="","",IF(J86=1,VLOOKUP(O86,'男子種目コード'!$A$1:$B$15,2,FALSE),IF(J86=2,VLOOKUP(O86,'女子種目コード'!$A$1:$B$14,2,FALSE))))</f>
      </c>
      <c r="Q86" s="67"/>
      <c r="R86" s="184"/>
      <c r="S86" s="184"/>
      <c r="T86" s="83"/>
      <c r="U86" s="51">
        <f>IF(T86="","",IF(J86=1,VLOOKUP(T86,'男子種目コード'!$A$1:$B$15,2,FALSE),IF(J86=2,VLOOKUP(T86,'女子種目コード'!$A$1:$B$14,2,FALSE))))</f>
      </c>
      <c r="V86" s="73"/>
      <c r="W86" s="184"/>
      <c r="X86" s="184"/>
      <c r="Y86" s="75"/>
      <c r="Z86" s="21">
        <f>IF(Y86="","",IF(J86=1,VLOOKUP(Y86,'男子種目コード'!$A$1:$B$13,2,FALSE),IF(J86=2,VLOOKUP(Y86,'女子種目コード'!$A$1:$B$10,2,FALSE))))</f>
      </c>
      <c r="AA86" s="12"/>
      <c r="AB86" s="188"/>
      <c r="AC86" s="188"/>
      <c r="AD86" s="3"/>
      <c r="AE86" s="1">
        <f t="shared" si="29"/>
      </c>
      <c r="AF86" s="1">
        <f t="shared" si="30"/>
      </c>
      <c r="AG86" s="26"/>
      <c r="AH86" s="26"/>
      <c r="AI86" s="26"/>
      <c r="AJ86" s="26"/>
      <c r="AK86" s="26"/>
      <c r="AL86" s="26"/>
      <c r="AM86" s="26"/>
      <c r="AN86" s="26"/>
      <c r="AO86" s="43">
        <f t="shared" si="31"/>
        <v>0</v>
      </c>
      <c r="AP86" s="26"/>
      <c r="AQ86" s="1">
        <f t="shared" si="32"/>
        <v>0</v>
      </c>
      <c r="AR86" s="1">
        <f t="shared" si="33"/>
      </c>
      <c r="AS86" s="1">
        <f t="shared" si="34"/>
      </c>
      <c r="AT86" t="s">
        <v>105</v>
      </c>
      <c r="AU86" s="207">
        <v>2345016</v>
      </c>
      <c r="AY86" s="197"/>
      <c r="AZ86" s="197"/>
      <c r="BA86" s="197"/>
    </row>
    <row r="87" spans="1:53" ht="13.5">
      <c r="A87" s="99">
        <f t="shared" si="25"/>
        <v>0</v>
      </c>
      <c r="B87" s="97">
        <f t="shared" si="26"/>
        <v>0</v>
      </c>
      <c r="C87" s="129"/>
      <c r="D87" s="79">
        <f>'登録DATA'!E83</f>
        <v>0</v>
      </c>
      <c r="E87" s="180"/>
      <c r="F87" s="160">
        <f>'登録DATA'!G83</f>
        <v>0</v>
      </c>
      <c r="G87" s="160">
        <f>'登録DATA'!H83</f>
        <v>0</v>
      </c>
      <c r="H87" s="156">
        <f t="shared" si="27"/>
        <v>0</v>
      </c>
      <c r="I87" s="161">
        <f>'登録DATA'!J83</f>
        <v>0</v>
      </c>
      <c r="J87" s="155" t="b">
        <f t="shared" si="28"/>
        <v>0</v>
      </c>
      <c r="K87" s="162">
        <f>'登録DATA'!I83</f>
        <v>0</v>
      </c>
      <c r="L87" s="50"/>
      <c r="M87" s="50"/>
      <c r="N87" s="55"/>
      <c r="O87" s="83"/>
      <c r="P87" s="51">
        <f>IF(O87="","",IF(J87=1,VLOOKUP(O87,'男子種目コード'!$A$1:$B$15,2,FALSE),IF(J87=2,VLOOKUP(O87,'女子種目コード'!$A$1:$B$14,2,FALSE))))</f>
      </c>
      <c r="Q87" s="67"/>
      <c r="R87" s="184"/>
      <c r="S87" s="184"/>
      <c r="T87" s="83"/>
      <c r="U87" s="51">
        <f>IF(T87="","",IF(J87=1,VLOOKUP(T87,'男子種目コード'!$A$1:$B$15,2,FALSE),IF(J87=2,VLOOKUP(T87,'女子種目コード'!$A$1:$B$14,2,FALSE))))</f>
      </c>
      <c r="V87" s="73"/>
      <c r="W87" s="184"/>
      <c r="X87" s="184"/>
      <c r="Y87" s="75"/>
      <c r="Z87" s="21">
        <f>IF(Y87="","",IF(J87=1,VLOOKUP(Y87,'男子種目コード'!$A$1:$B$13,2,FALSE),IF(J87=2,VLOOKUP(Y87,'女子種目コード'!$A$1:$B$10,2,FALSE))))</f>
      </c>
      <c r="AA87" s="12"/>
      <c r="AB87" s="188"/>
      <c r="AC87" s="188"/>
      <c r="AD87" s="3"/>
      <c r="AE87" s="1">
        <f t="shared" si="29"/>
      </c>
      <c r="AF87" s="1">
        <f t="shared" si="30"/>
      </c>
      <c r="AG87" s="26"/>
      <c r="AH87" s="26"/>
      <c r="AI87" s="26"/>
      <c r="AJ87" s="26"/>
      <c r="AK87" s="26"/>
      <c r="AL87" s="26"/>
      <c r="AM87" s="26"/>
      <c r="AN87" s="26"/>
      <c r="AO87" s="43">
        <f t="shared" si="31"/>
        <v>0</v>
      </c>
      <c r="AP87" s="26"/>
      <c r="AQ87" s="1">
        <f t="shared" si="32"/>
        <v>0</v>
      </c>
      <c r="AR87" s="1">
        <f t="shared" si="33"/>
      </c>
      <c r="AS87" s="1">
        <f t="shared" si="34"/>
      </c>
      <c r="AT87" t="s">
        <v>106</v>
      </c>
      <c r="AU87" s="207">
        <v>2345017</v>
      </c>
      <c r="AY87" s="197"/>
      <c r="AZ87" s="197"/>
      <c r="BA87" s="197"/>
    </row>
    <row r="88" spans="1:53" ht="13.5">
      <c r="A88" s="99">
        <f t="shared" si="25"/>
        <v>0</v>
      </c>
      <c r="B88" s="97">
        <f t="shared" si="26"/>
        <v>0</v>
      </c>
      <c r="C88" s="129"/>
      <c r="D88" s="79">
        <f>'登録DATA'!E84</f>
        <v>0</v>
      </c>
      <c r="E88" s="180"/>
      <c r="F88" s="160">
        <f>'登録DATA'!G84</f>
        <v>0</v>
      </c>
      <c r="G88" s="160">
        <f>'登録DATA'!H84</f>
        <v>0</v>
      </c>
      <c r="H88" s="156">
        <f t="shared" si="27"/>
        <v>0</v>
      </c>
      <c r="I88" s="161">
        <f>'登録DATA'!J84</f>
        <v>0</v>
      </c>
      <c r="J88" s="155" t="b">
        <f t="shared" si="28"/>
        <v>0</v>
      </c>
      <c r="K88" s="162">
        <f>'登録DATA'!I84</f>
        <v>0</v>
      </c>
      <c r="L88" s="50"/>
      <c r="M88" s="50"/>
      <c r="N88" s="55"/>
      <c r="O88" s="83"/>
      <c r="P88" s="51">
        <f>IF(O88="","",IF(J88=1,VLOOKUP(O88,'男子種目コード'!$A$1:$B$15,2,FALSE),IF(J88=2,VLOOKUP(O88,'女子種目コード'!$A$1:$B$14,2,FALSE))))</f>
      </c>
      <c r="Q88" s="67"/>
      <c r="R88" s="184"/>
      <c r="S88" s="184"/>
      <c r="T88" s="83"/>
      <c r="U88" s="51">
        <f>IF(T88="","",IF(J88=1,VLOOKUP(T88,'男子種目コード'!$A$1:$B$15,2,FALSE),IF(J88=2,VLOOKUP(T88,'女子種目コード'!$A$1:$B$14,2,FALSE))))</f>
      </c>
      <c r="V88" s="73"/>
      <c r="W88" s="184"/>
      <c r="X88" s="184"/>
      <c r="Y88" s="75"/>
      <c r="Z88" s="21">
        <f>IF(Y88="","",IF(J88=1,VLOOKUP(Y88,'男子種目コード'!$A$1:$B$13,2,FALSE),IF(J88=2,VLOOKUP(Y88,'女子種目コード'!$A$1:$B$10,2,FALSE))))</f>
      </c>
      <c r="AA88" s="12"/>
      <c r="AB88" s="188"/>
      <c r="AC88" s="188"/>
      <c r="AD88" s="3"/>
      <c r="AE88" s="1">
        <f t="shared" si="29"/>
      </c>
      <c r="AF88" s="1">
        <f t="shared" si="30"/>
      </c>
      <c r="AG88" s="26"/>
      <c r="AH88" s="26"/>
      <c r="AI88" s="26"/>
      <c r="AJ88" s="26"/>
      <c r="AK88" s="26"/>
      <c r="AL88" s="26"/>
      <c r="AM88" s="26"/>
      <c r="AN88" s="26"/>
      <c r="AO88" s="43">
        <f t="shared" si="31"/>
        <v>0</v>
      </c>
      <c r="AP88" s="26"/>
      <c r="AQ88" s="1">
        <f t="shared" si="32"/>
        <v>0</v>
      </c>
      <c r="AR88" s="1">
        <f t="shared" si="33"/>
      </c>
      <c r="AS88" s="1">
        <f t="shared" si="34"/>
      </c>
      <c r="AT88" t="s">
        <v>107</v>
      </c>
      <c r="AU88" s="207">
        <v>2345018</v>
      </c>
      <c r="AY88" s="197"/>
      <c r="AZ88" s="197"/>
      <c r="BA88" s="197"/>
    </row>
    <row r="89" spans="1:53" ht="13.5">
      <c r="A89" s="99">
        <f t="shared" si="25"/>
        <v>0</v>
      </c>
      <c r="B89" s="97">
        <f t="shared" si="26"/>
        <v>0</v>
      </c>
      <c r="C89" s="129"/>
      <c r="D89" s="79">
        <f>'登録DATA'!E85</f>
        <v>0</v>
      </c>
      <c r="E89" s="180"/>
      <c r="F89" s="160">
        <f>'登録DATA'!G85</f>
        <v>0</v>
      </c>
      <c r="G89" s="160">
        <f>'登録DATA'!H85</f>
        <v>0</v>
      </c>
      <c r="H89" s="156">
        <f t="shared" si="27"/>
        <v>0</v>
      </c>
      <c r="I89" s="161">
        <f>'登録DATA'!J85</f>
        <v>0</v>
      </c>
      <c r="J89" s="155" t="b">
        <f t="shared" si="28"/>
        <v>0</v>
      </c>
      <c r="K89" s="162">
        <f>'登録DATA'!I85</f>
        <v>0</v>
      </c>
      <c r="L89" s="50"/>
      <c r="M89" s="50"/>
      <c r="N89" s="55"/>
      <c r="O89" s="83"/>
      <c r="P89" s="51">
        <f>IF(O89="","",IF(J89=1,VLOOKUP(O89,'男子種目コード'!$A$1:$B$15,2,FALSE),IF(J89=2,VLOOKUP(O89,'女子種目コード'!$A$1:$B$14,2,FALSE))))</f>
      </c>
      <c r="Q89" s="67"/>
      <c r="R89" s="184"/>
      <c r="S89" s="184"/>
      <c r="T89" s="83"/>
      <c r="U89" s="51">
        <f>IF(T89="","",IF(J89=1,VLOOKUP(T89,'男子種目コード'!$A$1:$B$15,2,FALSE),IF(J89=2,VLOOKUP(T89,'女子種目コード'!$A$1:$B$14,2,FALSE))))</f>
      </c>
      <c r="V89" s="73"/>
      <c r="W89" s="184"/>
      <c r="X89" s="184"/>
      <c r="Y89" s="75"/>
      <c r="Z89" s="21">
        <f>IF(Y89="","",IF(J89=1,VLOOKUP(Y89,'男子種目コード'!$A$1:$B$13,2,FALSE),IF(J89=2,VLOOKUP(Y89,'女子種目コード'!$A$1:$B$10,2,FALSE))))</f>
      </c>
      <c r="AA89" s="12"/>
      <c r="AB89" s="188"/>
      <c r="AC89" s="188"/>
      <c r="AD89" s="3"/>
      <c r="AE89" s="1">
        <f t="shared" si="29"/>
      </c>
      <c r="AF89" s="1">
        <f t="shared" si="30"/>
      </c>
      <c r="AG89" s="26"/>
      <c r="AH89" s="26"/>
      <c r="AI89" s="26"/>
      <c r="AJ89" s="26"/>
      <c r="AK89" s="26"/>
      <c r="AL89" s="26"/>
      <c r="AM89" s="26"/>
      <c r="AN89" s="26"/>
      <c r="AO89" s="43">
        <f t="shared" si="31"/>
        <v>0</v>
      </c>
      <c r="AP89" s="26"/>
      <c r="AQ89" s="1">
        <f t="shared" si="32"/>
        <v>0</v>
      </c>
      <c r="AR89" s="1">
        <f t="shared" si="33"/>
      </c>
      <c r="AS89" s="1">
        <f t="shared" si="34"/>
      </c>
      <c r="AT89" s="1" t="s">
        <v>108</v>
      </c>
      <c r="AU89" s="3">
        <v>2345019</v>
      </c>
      <c r="AY89" s="197"/>
      <c r="AZ89" s="197"/>
      <c r="BA89" s="197"/>
    </row>
    <row r="90" spans="1:53" ht="13.5">
      <c r="A90" s="99">
        <f t="shared" si="25"/>
        <v>0</v>
      </c>
      <c r="B90" s="97">
        <f t="shared" si="26"/>
        <v>0</v>
      </c>
      <c r="C90" s="129"/>
      <c r="D90" s="79">
        <f>'登録DATA'!E86</f>
        <v>0</v>
      </c>
      <c r="E90" s="180"/>
      <c r="F90" s="160">
        <f>'登録DATA'!G86</f>
        <v>0</v>
      </c>
      <c r="G90" s="160">
        <f>'登録DATA'!H86</f>
        <v>0</v>
      </c>
      <c r="H90" s="156">
        <f t="shared" si="27"/>
        <v>0</v>
      </c>
      <c r="I90" s="161">
        <f>'登録DATA'!J86</f>
        <v>0</v>
      </c>
      <c r="J90" s="155" t="b">
        <f t="shared" si="28"/>
        <v>0</v>
      </c>
      <c r="K90" s="162">
        <f>'登録DATA'!I86</f>
        <v>0</v>
      </c>
      <c r="L90" s="50"/>
      <c r="M90" s="50"/>
      <c r="N90" s="55"/>
      <c r="O90" s="83"/>
      <c r="P90" s="51">
        <f>IF(O90="","",IF(J90=1,VLOOKUP(O90,'男子種目コード'!$A$1:$B$15,2,FALSE),IF(J90=2,VLOOKUP(O90,'女子種目コード'!$A$1:$B$14,2,FALSE))))</f>
      </c>
      <c r="Q90" s="67"/>
      <c r="R90" s="184"/>
      <c r="S90" s="184"/>
      <c r="T90" s="83"/>
      <c r="U90" s="51">
        <f>IF(T90="","",IF(J90=1,VLOOKUP(T90,'男子種目コード'!$A$1:$B$15,2,FALSE),IF(J90=2,VLOOKUP(T90,'女子種目コード'!$A$1:$B$14,2,FALSE))))</f>
      </c>
      <c r="V90" s="73"/>
      <c r="W90" s="184"/>
      <c r="X90" s="184"/>
      <c r="Y90" s="75"/>
      <c r="Z90" s="21">
        <f>IF(Y90="","",IF(J90=1,VLOOKUP(Y90,'男子種目コード'!$A$1:$B$13,2,FALSE),IF(J90=2,VLOOKUP(Y90,'女子種目コード'!$A$1:$B$10,2,FALSE))))</f>
      </c>
      <c r="AA90" s="12"/>
      <c r="AB90" s="188"/>
      <c r="AC90" s="188"/>
      <c r="AD90" s="3"/>
      <c r="AE90" s="1">
        <f t="shared" si="29"/>
      </c>
      <c r="AF90" s="1">
        <f t="shared" si="30"/>
      </c>
      <c r="AG90" s="26"/>
      <c r="AH90" s="26"/>
      <c r="AI90" s="26"/>
      <c r="AJ90" s="26"/>
      <c r="AK90" s="26"/>
      <c r="AL90" s="26"/>
      <c r="AM90" s="26"/>
      <c r="AN90" s="26"/>
      <c r="AO90" s="43">
        <f t="shared" si="31"/>
        <v>0</v>
      </c>
      <c r="AP90" s="26"/>
      <c r="AQ90" s="1">
        <f t="shared" si="32"/>
        <v>0</v>
      </c>
      <c r="AR90" s="1">
        <f t="shared" si="33"/>
      </c>
      <c r="AS90" s="1">
        <f t="shared" si="34"/>
      </c>
      <c r="AT90" s="1" t="s">
        <v>109</v>
      </c>
      <c r="AU90" s="3">
        <v>2345020</v>
      </c>
      <c r="AY90" s="197"/>
      <c r="AZ90" s="197"/>
      <c r="BA90" s="197"/>
    </row>
    <row r="91" spans="1:53" ht="13.5">
      <c r="A91" s="99">
        <f t="shared" si="25"/>
        <v>0</v>
      </c>
      <c r="B91" s="97">
        <f t="shared" si="26"/>
        <v>0</v>
      </c>
      <c r="C91" s="129"/>
      <c r="D91" s="79">
        <f>'登録DATA'!E87</f>
        <v>0</v>
      </c>
      <c r="E91" s="180"/>
      <c r="F91" s="160">
        <f>'登録DATA'!G87</f>
        <v>0</v>
      </c>
      <c r="G91" s="160">
        <f>'登録DATA'!H87</f>
        <v>0</v>
      </c>
      <c r="H91" s="156">
        <f t="shared" si="27"/>
        <v>0</v>
      </c>
      <c r="I91" s="161">
        <f>'登録DATA'!J87</f>
        <v>0</v>
      </c>
      <c r="J91" s="155" t="b">
        <f t="shared" si="28"/>
        <v>0</v>
      </c>
      <c r="K91" s="162">
        <f>'登録DATA'!I87</f>
        <v>0</v>
      </c>
      <c r="L91" s="50"/>
      <c r="M91" s="50"/>
      <c r="N91" s="55"/>
      <c r="O91" s="83"/>
      <c r="P91" s="51">
        <f>IF(O91="","",IF(J91=1,VLOOKUP(O91,'男子種目コード'!$A$1:$B$15,2,FALSE),IF(J91=2,VLOOKUP(O91,'女子種目コード'!$A$1:$B$14,2,FALSE))))</f>
      </c>
      <c r="Q91" s="67"/>
      <c r="R91" s="184"/>
      <c r="S91" s="184"/>
      <c r="T91" s="83"/>
      <c r="U91" s="51">
        <f>IF(T91="","",IF(J91=1,VLOOKUP(T91,'男子種目コード'!$A$1:$B$15,2,FALSE),IF(J91=2,VLOOKUP(T91,'女子種目コード'!$A$1:$B$14,2,FALSE))))</f>
      </c>
      <c r="V91" s="73"/>
      <c r="W91" s="184"/>
      <c r="X91" s="184"/>
      <c r="Y91" s="75"/>
      <c r="Z91" s="21">
        <f>IF(Y91="","",IF(J91=1,VLOOKUP(Y91,'男子種目コード'!$A$1:$B$13,2,FALSE),IF(J91=2,VLOOKUP(Y91,'女子種目コード'!$A$1:$B$10,2,FALSE))))</f>
      </c>
      <c r="AA91" s="12"/>
      <c r="AB91" s="188"/>
      <c r="AC91" s="188"/>
      <c r="AD91" s="3"/>
      <c r="AE91" s="1">
        <f t="shared" si="29"/>
      </c>
      <c r="AF91" s="1">
        <f t="shared" si="30"/>
      </c>
      <c r="AG91" s="26"/>
      <c r="AH91" s="26"/>
      <c r="AI91" s="26"/>
      <c r="AJ91" s="26"/>
      <c r="AK91" s="26"/>
      <c r="AL91" s="26"/>
      <c r="AM91" s="26"/>
      <c r="AN91" s="26"/>
      <c r="AO91" s="43">
        <f t="shared" si="31"/>
        <v>0</v>
      </c>
      <c r="AP91" s="26"/>
      <c r="AQ91" s="1">
        <f t="shared" si="32"/>
        <v>0</v>
      </c>
      <c r="AR91" s="1">
        <f t="shared" si="33"/>
      </c>
      <c r="AS91" s="1">
        <f t="shared" si="34"/>
      </c>
      <c r="AT91" s="1" t="s">
        <v>110</v>
      </c>
      <c r="AU91" s="3">
        <v>2345021</v>
      </c>
      <c r="AY91" s="197"/>
      <c r="AZ91" s="197"/>
      <c r="BA91" s="197"/>
    </row>
    <row r="92" spans="1:53" ht="13.5">
      <c r="A92" s="99">
        <f t="shared" si="25"/>
        <v>0</v>
      </c>
      <c r="B92" s="97">
        <f t="shared" si="26"/>
        <v>0</v>
      </c>
      <c r="C92" s="129"/>
      <c r="D92" s="79">
        <f>'登録DATA'!E88</f>
        <v>0</v>
      </c>
      <c r="E92" s="180"/>
      <c r="F92" s="160">
        <f>'登録DATA'!G88</f>
        <v>0</v>
      </c>
      <c r="G92" s="160">
        <f>'登録DATA'!H88</f>
        <v>0</v>
      </c>
      <c r="H92" s="156">
        <f t="shared" si="27"/>
        <v>0</v>
      </c>
      <c r="I92" s="161">
        <f>'登録DATA'!J88</f>
        <v>0</v>
      </c>
      <c r="J92" s="155" t="b">
        <f t="shared" si="28"/>
        <v>0</v>
      </c>
      <c r="K92" s="162">
        <f>'登録DATA'!I88</f>
        <v>0</v>
      </c>
      <c r="L92" s="50"/>
      <c r="M92" s="50"/>
      <c r="N92" s="55"/>
      <c r="O92" s="83"/>
      <c r="P92" s="51">
        <f>IF(O92="","",IF(J92=1,VLOOKUP(O92,'男子種目コード'!$A$1:$B$15,2,FALSE),IF(J92=2,VLOOKUP(O92,'女子種目コード'!$A$1:$B$14,2,FALSE))))</f>
      </c>
      <c r="Q92" s="67"/>
      <c r="R92" s="184"/>
      <c r="S92" s="184"/>
      <c r="T92" s="83"/>
      <c r="U92" s="51">
        <f>IF(T92="","",IF(J92=1,VLOOKUP(T92,'男子種目コード'!$A$1:$B$15,2,FALSE),IF(J92=2,VLOOKUP(T92,'女子種目コード'!$A$1:$B$14,2,FALSE))))</f>
      </c>
      <c r="V92" s="73"/>
      <c r="W92" s="184"/>
      <c r="X92" s="184"/>
      <c r="Y92" s="75"/>
      <c r="Z92" s="21">
        <f>IF(Y92="","",IF(J92=1,VLOOKUP(Y92,'男子種目コード'!$A$1:$B$13,2,FALSE),IF(J92=2,VLOOKUP(Y92,'女子種目コード'!$A$1:$B$10,2,FALSE))))</f>
      </c>
      <c r="AA92" s="12"/>
      <c r="AB92" s="188"/>
      <c r="AC92" s="188"/>
      <c r="AD92" s="3"/>
      <c r="AE92" s="1">
        <f t="shared" si="29"/>
      </c>
      <c r="AF92" s="1">
        <f t="shared" si="30"/>
      </c>
      <c r="AG92" s="26"/>
      <c r="AH92" s="26"/>
      <c r="AI92" s="26"/>
      <c r="AJ92" s="26"/>
      <c r="AK92" s="26"/>
      <c r="AL92" s="26"/>
      <c r="AM92" s="26"/>
      <c r="AN92" s="26"/>
      <c r="AO92" s="43">
        <f t="shared" si="31"/>
        <v>0</v>
      </c>
      <c r="AP92" s="26"/>
      <c r="AQ92" s="1">
        <f t="shared" si="32"/>
        <v>0</v>
      </c>
      <c r="AR92" s="1">
        <f t="shared" si="33"/>
      </c>
      <c r="AS92" s="1">
        <f t="shared" si="34"/>
      </c>
      <c r="AT92" s="1" t="s">
        <v>111</v>
      </c>
      <c r="AU92" s="3">
        <v>2345022</v>
      </c>
      <c r="AY92" s="197"/>
      <c r="AZ92" s="197"/>
      <c r="BA92" s="197"/>
    </row>
    <row r="93" spans="1:53" ht="13.5">
      <c r="A93" s="99">
        <f t="shared" si="25"/>
        <v>0</v>
      </c>
      <c r="B93" s="97">
        <f t="shared" si="26"/>
        <v>0</v>
      </c>
      <c r="C93" s="129"/>
      <c r="D93" s="79">
        <f>'登録DATA'!E89</f>
        <v>0</v>
      </c>
      <c r="E93" s="180"/>
      <c r="F93" s="160">
        <f>'登録DATA'!G89</f>
        <v>0</v>
      </c>
      <c r="G93" s="160">
        <f>'登録DATA'!H89</f>
        <v>0</v>
      </c>
      <c r="H93" s="156">
        <f t="shared" si="27"/>
        <v>0</v>
      </c>
      <c r="I93" s="161">
        <f>'登録DATA'!J89</f>
        <v>0</v>
      </c>
      <c r="J93" s="155" t="b">
        <f t="shared" si="28"/>
        <v>0</v>
      </c>
      <c r="K93" s="162">
        <f>'登録DATA'!I89</f>
        <v>0</v>
      </c>
      <c r="L93" s="50"/>
      <c r="M93" s="50"/>
      <c r="N93" s="55"/>
      <c r="O93" s="83"/>
      <c r="P93" s="51">
        <f>IF(O93="","",IF(J93=1,VLOOKUP(O93,'男子種目コード'!$A$1:$B$15,2,FALSE),IF(J93=2,VLOOKUP(O93,'女子種目コード'!$A$1:$B$14,2,FALSE))))</f>
      </c>
      <c r="Q93" s="67"/>
      <c r="R93" s="184"/>
      <c r="S93" s="184"/>
      <c r="T93" s="83"/>
      <c r="U93" s="51">
        <f>IF(T93="","",IF(J93=1,VLOOKUP(T93,'男子種目コード'!$A$1:$B$15,2,FALSE),IF(J93=2,VLOOKUP(T93,'女子種目コード'!$A$1:$B$14,2,FALSE))))</f>
      </c>
      <c r="V93" s="73"/>
      <c r="W93" s="184"/>
      <c r="X93" s="184"/>
      <c r="Y93" s="75"/>
      <c r="Z93" s="21">
        <f>IF(Y93="","",IF(J93=1,VLOOKUP(Y93,'男子種目コード'!$A$1:$B$13,2,FALSE),IF(J93=2,VLOOKUP(Y93,'女子種目コード'!$A$1:$B$10,2,FALSE))))</f>
      </c>
      <c r="AA93" s="12"/>
      <c r="AB93" s="188"/>
      <c r="AC93" s="188"/>
      <c r="AD93" s="3"/>
      <c r="AE93" s="1">
        <f t="shared" si="29"/>
      </c>
      <c r="AF93" s="1">
        <f t="shared" si="30"/>
      </c>
      <c r="AG93" s="26"/>
      <c r="AH93" s="26"/>
      <c r="AI93" s="26"/>
      <c r="AJ93" s="26"/>
      <c r="AK93" s="26"/>
      <c r="AL93" s="26"/>
      <c r="AM93" s="26"/>
      <c r="AN93" s="26"/>
      <c r="AO93" s="43">
        <f t="shared" si="31"/>
        <v>0</v>
      </c>
      <c r="AP93" s="26"/>
      <c r="AQ93" s="1">
        <f t="shared" si="32"/>
        <v>0</v>
      </c>
      <c r="AR93" s="1">
        <f t="shared" si="33"/>
      </c>
      <c r="AS93" s="1">
        <f t="shared" si="34"/>
      </c>
      <c r="AT93" s="1" t="s">
        <v>112</v>
      </c>
      <c r="AU93" s="3">
        <v>2345023</v>
      </c>
      <c r="AY93" s="197"/>
      <c r="AZ93" s="197"/>
      <c r="BA93" s="197"/>
    </row>
    <row r="94" spans="1:53" ht="13.5">
      <c r="A94" s="99">
        <f t="shared" si="25"/>
        <v>0</v>
      </c>
      <c r="B94" s="97">
        <f t="shared" si="26"/>
        <v>0</v>
      </c>
      <c r="C94" s="129"/>
      <c r="D94" s="79">
        <f>'登録DATA'!E90</f>
        <v>0</v>
      </c>
      <c r="E94" s="180"/>
      <c r="F94" s="160">
        <f>'登録DATA'!G90</f>
        <v>0</v>
      </c>
      <c r="G94" s="160">
        <f>'登録DATA'!H90</f>
        <v>0</v>
      </c>
      <c r="H94" s="156">
        <f t="shared" si="27"/>
        <v>0</v>
      </c>
      <c r="I94" s="161">
        <f>'登録DATA'!J90</f>
        <v>0</v>
      </c>
      <c r="J94" s="155" t="b">
        <f t="shared" si="28"/>
        <v>0</v>
      </c>
      <c r="K94" s="162">
        <f>'登録DATA'!I90</f>
        <v>0</v>
      </c>
      <c r="L94" s="50"/>
      <c r="M94" s="50"/>
      <c r="N94" s="55"/>
      <c r="O94" s="83"/>
      <c r="P94" s="51">
        <f>IF(O94="","",IF(J94=1,VLOOKUP(O94,'男子種目コード'!$A$1:$B$15,2,FALSE),IF(J94=2,VLOOKUP(O94,'女子種目コード'!$A$1:$B$14,2,FALSE))))</f>
      </c>
      <c r="Q94" s="67"/>
      <c r="R94" s="184"/>
      <c r="S94" s="184"/>
      <c r="T94" s="83"/>
      <c r="U94" s="51">
        <f>IF(T94="","",IF(J94=1,VLOOKUP(T94,'男子種目コード'!$A$1:$B$15,2,FALSE),IF(J94=2,VLOOKUP(T94,'女子種目コード'!$A$1:$B$14,2,FALSE))))</f>
      </c>
      <c r="V94" s="73"/>
      <c r="W94" s="184"/>
      <c r="X94" s="184"/>
      <c r="Y94" s="75"/>
      <c r="Z94" s="21">
        <f>IF(Y94="","",IF(J94=1,VLOOKUP(Y94,'男子種目コード'!$A$1:$B$13,2,FALSE),IF(J94=2,VLOOKUP(Y94,'女子種目コード'!$A$1:$B$10,2,FALSE))))</f>
      </c>
      <c r="AA94" s="12"/>
      <c r="AB94" s="188"/>
      <c r="AC94" s="188"/>
      <c r="AD94" s="3"/>
      <c r="AE94" s="1">
        <f t="shared" si="29"/>
      </c>
      <c r="AF94" s="1">
        <f t="shared" si="30"/>
      </c>
      <c r="AG94" s="26"/>
      <c r="AH94" s="26"/>
      <c r="AI94" s="26"/>
      <c r="AJ94" s="26"/>
      <c r="AK94" s="26"/>
      <c r="AL94" s="26"/>
      <c r="AM94" s="26"/>
      <c r="AN94" s="26"/>
      <c r="AO94" s="43">
        <f t="shared" si="31"/>
        <v>0</v>
      </c>
      <c r="AP94" s="26"/>
      <c r="AQ94" s="1">
        <f t="shared" si="32"/>
        <v>0</v>
      </c>
      <c r="AR94" s="1">
        <f t="shared" si="33"/>
      </c>
      <c r="AS94" s="1">
        <f t="shared" si="34"/>
      </c>
      <c r="AT94" s="1" t="s">
        <v>113</v>
      </c>
      <c r="AU94" s="3">
        <v>2345024</v>
      </c>
      <c r="AY94" s="197"/>
      <c r="AZ94" s="197"/>
      <c r="BA94" s="197"/>
    </row>
    <row r="95" spans="1:53" ht="13.5">
      <c r="A95" s="99">
        <f t="shared" si="25"/>
        <v>0</v>
      </c>
      <c r="B95" s="97">
        <f t="shared" si="26"/>
        <v>0</v>
      </c>
      <c r="C95" s="129"/>
      <c r="D95" s="79">
        <f>'登録DATA'!E91</f>
        <v>0</v>
      </c>
      <c r="E95" s="180"/>
      <c r="F95" s="160">
        <f>'登録DATA'!G91</f>
        <v>0</v>
      </c>
      <c r="G95" s="160">
        <f>'登録DATA'!H91</f>
        <v>0</v>
      </c>
      <c r="H95" s="156">
        <f t="shared" si="27"/>
        <v>0</v>
      </c>
      <c r="I95" s="161">
        <f>'登録DATA'!J91</f>
        <v>0</v>
      </c>
      <c r="J95" s="155" t="b">
        <f t="shared" si="28"/>
        <v>0</v>
      </c>
      <c r="K95" s="162">
        <f>'登録DATA'!I91</f>
        <v>0</v>
      </c>
      <c r="L95" s="50"/>
      <c r="M95" s="50"/>
      <c r="N95" s="55"/>
      <c r="O95" s="83"/>
      <c r="P95" s="51">
        <f>IF(O95="","",IF(J95=1,VLOOKUP(O95,'男子種目コード'!$A$1:$B$15,2,FALSE),IF(J95=2,VLOOKUP(O95,'女子種目コード'!$A$1:$B$14,2,FALSE))))</f>
      </c>
      <c r="Q95" s="67"/>
      <c r="R95" s="184"/>
      <c r="S95" s="184"/>
      <c r="T95" s="83"/>
      <c r="U95" s="51">
        <f>IF(T95="","",IF(J95=1,VLOOKUP(T95,'男子種目コード'!$A$1:$B$15,2,FALSE),IF(J95=2,VLOOKUP(T95,'女子種目コード'!$A$1:$B$14,2,FALSE))))</f>
      </c>
      <c r="V95" s="73"/>
      <c r="W95" s="184"/>
      <c r="X95" s="184"/>
      <c r="Y95" s="75"/>
      <c r="Z95" s="21">
        <f>IF(Y95="","",IF(J95=1,VLOOKUP(Y95,'男子種目コード'!$A$1:$B$13,2,FALSE),IF(J95=2,VLOOKUP(Y95,'女子種目コード'!$A$1:$B$10,2,FALSE))))</f>
      </c>
      <c r="AA95" s="12"/>
      <c r="AB95" s="188"/>
      <c r="AC95" s="188"/>
      <c r="AD95" s="3"/>
      <c r="AE95" s="1">
        <f t="shared" si="29"/>
      </c>
      <c r="AF95" s="1">
        <f t="shared" si="30"/>
      </c>
      <c r="AG95" s="26"/>
      <c r="AH95" s="26"/>
      <c r="AI95" s="26"/>
      <c r="AJ95" s="26"/>
      <c r="AK95" s="26"/>
      <c r="AL95" s="26"/>
      <c r="AM95" s="26"/>
      <c r="AN95" s="26"/>
      <c r="AO95" s="43">
        <f t="shared" si="31"/>
        <v>0</v>
      </c>
      <c r="AP95" s="26"/>
      <c r="AQ95" s="1">
        <f t="shared" si="32"/>
        <v>0</v>
      </c>
      <c r="AR95" s="1">
        <f t="shared" si="33"/>
      </c>
      <c r="AS95" s="1">
        <f t="shared" si="34"/>
      </c>
      <c r="AT95" s="1" t="s">
        <v>114</v>
      </c>
      <c r="AU95" s="3">
        <v>2345025</v>
      </c>
      <c r="AY95" s="197"/>
      <c r="AZ95" s="197"/>
      <c r="BA95" s="197"/>
    </row>
    <row r="96" spans="1:53" ht="13.5">
      <c r="A96" s="99">
        <f t="shared" si="25"/>
        <v>0</v>
      </c>
      <c r="B96" s="97">
        <f t="shared" si="26"/>
        <v>0</v>
      </c>
      <c r="C96" s="129"/>
      <c r="D96" s="79">
        <f>'登録DATA'!E92</f>
        <v>0</v>
      </c>
      <c r="E96" s="180"/>
      <c r="F96" s="160">
        <f>'登録DATA'!G92</f>
        <v>0</v>
      </c>
      <c r="G96" s="160">
        <f>'登録DATA'!H92</f>
        <v>0</v>
      </c>
      <c r="H96" s="156">
        <f t="shared" si="27"/>
        <v>0</v>
      </c>
      <c r="I96" s="161">
        <f>'登録DATA'!J92</f>
        <v>0</v>
      </c>
      <c r="J96" s="155" t="b">
        <f t="shared" si="28"/>
        <v>0</v>
      </c>
      <c r="K96" s="162">
        <f>'登録DATA'!I92</f>
        <v>0</v>
      </c>
      <c r="L96" s="50"/>
      <c r="M96" s="50"/>
      <c r="N96" s="55"/>
      <c r="O96" s="83"/>
      <c r="P96" s="51">
        <f>IF(O96="","",IF(J96=1,VLOOKUP(O96,'男子種目コード'!$A$1:$B$15,2,FALSE),IF(J96=2,VLOOKUP(O96,'女子種目コード'!$A$1:$B$14,2,FALSE))))</f>
      </c>
      <c r="Q96" s="67"/>
      <c r="R96" s="184"/>
      <c r="S96" s="184"/>
      <c r="T96" s="83"/>
      <c r="U96" s="51">
        <f>IF(T96="","",IF(J96=1,VLOOKUP(T96,'男子種目コード'!$A$1:$B$15,2,FALSE),IF(J96=2,VLOOKUP(T96,'女子種目コード'!$A$1:$B$14,2,FALSE))))</f>
      </c>
      <c r="V96" s="73"/>
      <c r="W96" s="184"/>
      <c r="X96" s="184"/>
      <c r="Y96" s="75"/>
      <c r="Z96" s="21">
        <f>IF(Y96="","",IF(J96=1,VLOOKUP(Y96,'男子種目コード'!$A$1:$B$13,2,FALSE),IF(J96=2,VLOOKUP(Y96,'女子種目コード'!$A$1:$B$10,2,FALSE))))</f>
      </c>
      <c r="AA96" s="12"/>
      <c r="AB96" s="188"/>
      <c r="AC96" s="188"/>
      <c r="AD96" s="3"/>
      <c r="AE96" s="1">
        <f t="shared" si="29"/>
      </c>
      <c r="AF96" s="1">
        <f t="shared" si="30"/>
      </c>
      <c r="AG96" s="26"/>
      <c r="AH96" s="26"/>
      <c r="AI96" s="26"/>
      <c r="AJ96" s="26"/>
      <c r="AK96" s="26"/>
      <c r="AL96" s="26"/>
      <c r="AM96" s="26"/>
      <c r="AN96" s="26"/>
      <c r="AO96" s="43">
        <f t="shared" si="31"/>
        <v>0</v>
      </c>
      <c r="AP96" s="26"/>
      <c r="AQ96" s="1">
        <f t="shared" si="32"/>
        <v>0</v>
      </c>
      <c r="AR96" s="1">
        <f t="shared" si="33"/>
      </c>
      <c r="AS96" s="1">
        <f t="shared" si="34"/>
      </c>
      <c r="AT96" s="1" t="s">
        <v>115</v>
      </c>
      <c r="AU96" s="3">
        <v>2345026</v>
      </c>
      <c r="AY96" s="197"/>
      <c r="AZ96" s="197"/>
      <c r="BA96" s="197"/>
    </row>
    <row r="97" spans="1:53" ht="13.5">
      <c r="A97" s="99">
        <f t="shared" si="25"/>
        <v>0</v>
      </c>
      <c r="B97" s="97">
        <f t="shared" si="26"/>
        <v>0</v>
      </c>
      <c r="C97" s="129"/>
      <c r="D97" s="79">
        <f>'登録DATA'!E93</f>
        <v>0</v>
      </c>
      <c r="E97" s="180"/>
      <c r="F97" s="160">
        <f>'登録DATA'!G93</f>
        <v>0</v>
      </c>
      <c r="G97" s="160">
        <f>'登録DATA'!H93</f>
        <v>0</v>
      </c>
      <c r="H97" s="156">
        <f t="shared" si="27"/>
        <v>0</v>
      </c>
      <c r="I97" s="161">
        <f>'登録DATA'!J93</f>
        <v>0</v>
      </c>
      <c r="J97" s="155" t="b">
        <f t="shared" si="28"/>
        <v>0</v>
      </c>
      <c r="K97" s="162">
        <f>'登録DATA'!I93</f>
        <v>0</v>
      </c>
      <c r="L97" s="50"/>
      <c r="M97" s="50"/>
      <c r="N97" s="55"/>
      <c r="O97" s="83"/>
      <c r="P97" s="51">
        <f>IF(O97="","",IF(J97=1,VLOOKUP(O97,'男子種目コード'!$A$1:$B$15,2,FALSE),IF(J97=2,VLOOKUP(O97,'女子種目コード'!$A$1:$B$14,2,FALSE))))</f>
      </c>
      <c r="Q97" s="67"/>
      <c r="R97" s="184"/>
      <c r="S97" s="184"/>
      <c r="T97" s="83"/>
      <c r="U97" s="51">
        <f>IF(T97="","",IF(J97=1,VLOOKUP(T97,'男子種目コード'!$A$1:$B$15,2,FALSE),IF(J97=2,VLOOKUP(T97,'女子種目コード'!$A$1:$B$14,2,FALSE))))</f>
      </c>
      <c r="V97" s="73"/>
      <c r="W97" s="184"/>
      <c r="X97" s="184"/>
      <c r="Y97" s="75"/>
      <c r="Z97" s="21">
        <f>IF(Y97="","",IF(J97=1,VLOOKUP(Y97,'男子種目コード'!$A$1:$B$13,2,FALSE),IF(J97=2,VLOOKUP(Y97,'女子種目コード'!$A$1:$B$10,2,FALSE))))</f>
      </c>
      <c r="AA97" s="12"/>
      <c r="AB97" s="188"/>
      <c r="AC97" s="188"/>
      <c r="AD97" s="3"/>
      <c r="AE97" s="1">
        <f t="shared" si="29"/>
      </c>
      <c r="AF97" s="1">
        <f t="shared" si="30"/>
      </c>
      <c r="AG97" s="26"/>
      <c r="AH97" s="26"/>
      <c r="AI97" s="26"/>
      <c r="AJ97" s="26"/>
      <c r="AK97" s="26"/>
      <c r="AL97" s="26"/>
      <c r="AM97" s="26"/>
      <c r="AN97" s="26"/>
      <c r="AO97" s="43">
        <f t="shared" si="31"/>
        <v>0</v>
      </c>
      <c r="AP97" s="26"/>
      <c r="AQ97" s="1">
        <f t="shared" si="32"/>
        <v>0</v>
      </c>
      <c r="AR97" s="1">
        <f t="shared" si="33"/>
      </c>
      <c r="AS97" s="1">
        <f t="shared" si="34"/>
      </c>
      <c r="AT97" s="1" t="s">
        <v>116</v>
      </c>
      <c r="AU97" s="3">
        <v>2345027</v>
      </c>
      <c r="AY97" s="197"/>
      <c r="AZ97" s="197"/>
      <c r="BA97" s="197"/>
    </row>
    <row r="98" spans="1:53" ht="13.5">
      <c r="A98" s="99">
        <f t="shared" si="25"/>
        <v>0</v>
      </c>
      <c r="B98" s="97">
        <f t="shared" si="26"/>
        <v>0</v>
      </c>
      <c r="C98" s="129"/>
      <c r="D98" s="79">
        <f>'登録DATA'!E94</f>
        <v>0</v>
      </c>
      <c r="E98" s="180"/>
      <c r="F98" s="160">
        <f>'登録DATA'!G94</f>
        <v>0</v>
      </c>
      <c r="G98" s="160">
        <f>'登録DATA'!H94</f>
        <v>0</v>
      </c>
      <c r="H98" s="156">
        <f t="shared" si="27"/>
        <v>0</v>
      </c>
      <c r="I98" s="161">
        <f>'登録DATA'!J94</f>
        <v>0</v>
      </c>
      <c r="J98" s="155" t="b">
        <f t="shared" si="28"/>
        <v>0</v>
      </c>
      <c r="K98" s="162">
        <f>'登録DATA'!I94</f>
        <v>0</v>
      </c>
      <c r="L98" s="50"/>
      <c r="M98" s="50"/>
      <c r="N98" s="55"/>
      <c r="O98" s="83"/>
      <c r="P98" s="51">
        <f>IF(O98="","",IF(J98=1,VLOOKUP(O98,'男子種目コード'!$A$1:$B$15,2,FALSE),IF(J98=2,VLOOKUP(O98,'女子種目コード'!$A$1:$B$14,2,FALSE))))</f>
      </c>
      <c r="Q98" s="67"/>
      <c r="R98" s="184"/>
      <c r="S98" s="184"/>
      <c r="T98" s="83"/>
      <c r="U98" s="51">
        <f>IF(T98="","",IF(J98=1,VLOOKUP(T98,'男子種目コード'!$A$1:$B$15,2,FALSE),IF(J98=2,VLOOKUP(T98,'女子種目コード'!$A$1:$B$14,2,FALSE))))</f>
      </c>
      <c r="V98" s="73"/>
      <c r="W98" s="184"/>
      <c r="X98" s="184"/>
      <c r="Y98" s="75"/>
      <c r="Z98" s="21">
        <f>IF(Y98="","",IF(J98=1,VLOOKUP(Y98,'男子種目コード'!$A$1:$B$13,2,FALSE),IF(J98=2,VLOOKUP(Y98,'女子種目コード'!$A$1:$B$10,2,FALSE))))</f>
      </c>
      <c r="AA98" s="12"/>
      <c r="AB98" s="188"/>
      <c r="AC98" s="188"/>
      <c r="AD98" s="3"/>
      <c r="AE98" s="1">
        <f t="shared" si="29"/>
      </c>
      <c r="AF98" s="1">
        <f t="shared" si="30"/>
      </c>
      <c r="AG98" s="26"/>
      <c r="AH98" s="26"/>
      <c r="AI98" s="26"/>
      <c r="AJ98" s="26"/>
      <c r="AK98" s="26"/>
      <c r="AL98" s="26"/>
      <c r="AM98" s="26"/>
      <c r="AN98" s="26"/>
      <c r="AO98" s="43">
        <f t="shared" si="31"/>
        <v>0</v>
      </c>
      <c r="AP98" s="26"/>
      <c r="AQ98" s="1">
        <f t="shared" si="32"/>
        <v>0</v>
      </c>
      <c r="AR98" s="1">
        <f t="shared" si="33"/>
      </c>
      <c r="AS98" s="1">
        <f t="shared" si="34"/>
      </c>
      <c r="AT98" s="1" t="s">
        <v>117</v>
      </c>
      <c r="AU98" s="3">
        <v>2345028</v>
      </c>
      <c r="AY98" s="197"/>
      <c r="AZ98" s="197"/>
      <c r="BA98" s="197"/>
    </row>
    <row r="99" spans="1:53" ht="13.5">
      <c r="A99" s="99">
        <f t="shared" si="25"/>
        <v>0</v>
      </c>
      <c r="B99" s="97">
        <f t="shared" si="26"/>
        <v>0</v>
      </c>
      <c r="C99" s="129"/>
      <c r="D99" s="79">
        <f>'登録DATA'!E95</f>
        <v>0</v>
      </c>
      <c r="E99" s="180"/>
      <c r="F99" s="160">
        <f>'登録DATA'!G95</f>
        <v>0</v>
      </c>
      <c r="G99" s="160">
        <f>'登録DATA'!H95</f>
        <v>0</v>
      </c>
      <c r="H99" s="156">
        <f t="shared" si="27"/>
        <v>0</v>
      </c>
      <c r="I99" s="161">
        <f>'登録DATA'!J95</f>
        <v>0</v>
      </c>
      <c r="J99" s="155" t="b">
        <f t="shared" si="28"/>
        <v>0</v>
      </c>
      <c r="K99" s="162">
        <f>'登録DATA'!I95</f>
        <v>0</v>
      </c>
      <c r="L99" s="50"/>
      <c r="M99" s="50"/>
      <c r="N99" s="55"/>
      <c r="O99" s="83"/>
      <c r="P99" s="51">
        <f>IF(O99="","",IF(J99=1,VLOOKUP(O99,'男子種目コード'!$A$1:$B$15,2,FALSE),IF(J99=2,VLOOKUP(O99,'女子種目コード'!$A$1:$B$14,2,FALSE))))</f>
      </c>
      <c r="Q99" s="67"/>
      <c r="R99" s="184"/>
      <c r="S99" s="184"/>
      <c r="T99" s="83"/>
      <c r="U99" s="51">
        <f>IF(T99="","",IF(J99=1,VLOOKUP(T99,'男子種目コード'!$A$1:$B$15,2,FALSE),IF(J99=2,VLOOKUP(T99,'女子種目コード'!$A$1:$B$14,2,FALSE))))</f>
      </c>
      <c r="V99" s="73"/>
      <c r="W99" s="184"/>
      <c r="X99" s="184"/>
      <c r="Y99" s="75"/>
      <c r="Z99" s="21">
        <f>IF(Y99="","",IF(J99=1,VLOOKUP(Y99,'男子種目コード'!$A$1:$B$13,2,FALSE),IF(J99=2,VLOOKUP(Y99,'女子種目コード'!$A$1:$B$10,2,FALSE))))</f>
      </c>
      <c r="AA99" s="12"/>
      <c r="AB99" s="188"/>
      <c r="AC99" s="188"/>
      <c r="AD99" s="3"/>
      <c r="AE99" s="1">
        <f t="shared" si="29"/>
      </c>
      <c r="AF99" s="1">
        <f t="shared" si="30"/>
      </c>
      <c r="AG99" s="26"/>
      <c r="AH99" s="26"/>
      <c r="AI99" s="26"/>
      <c r="AJ99" s="26"/>
      <c r="AK99" s="26"/>
      <c r="AL99" s="26"/>
      <c r="AM99" s="26"/>
      <c r="AN99" s="26"/>
      <c r="AO99" s="43">
        <f t="shared" si="31"/>
        <v>0</v>
      </c>
      <c r="AP99" s="26"/>
      <c r="AQ99" s="1">
        <f t="shared" si="32"/>
        <v>0</v>
      </c>
      <c r="AR99" s="1">
        <f t="shared" si="33"/>
      </c>
      <c r="AS99" s="1">
        <f t="shared" si="34"/>
      </c>
      <c r="AT99" s="1" t="s">
        <v>118</v>
      </c>
      <c r="AU99" s="3">
        <v>2345029</v>
      </c>
      <c r="AY99" s="197"/>
      <c r="AZ99" s="197"/>
      <c r="BA99" s="197"/>
    </row>
    <row r="100" spans="1:53" ht="13.5">
      <c r="A100" s="99">
        <f t="shared" si="25"/>
        <v>0</v>
      </c>
      <c r="B100" s="97">
        <f t="shared" si="26"/>
        <v>0</v>
      </c>
      <c r="C100" s="129"/>
      <c r="D100" s="79">
        <f>'登録DATA'!E96</f>
        <v>0</v>
      </c>
      <c r="E100" s="180"/>
      <c r="F100" s="160">
        <f>'登録DATA'!G96</f>
        <v>0</v>
      </c>
      <c r="G100" s="160">
        <f>'登録DATA'!H96</f>
        <v>0</v>
      </c>
      <c r="H100" s="156">
        <f t="shared" si="27"/>
        <v>0</v>
      </c>
      <c r="I100" s="161">
        <f>'登録DATA'!J96</f>
        <v>0</v>
      </c>
      <c r="J100" s="155" t="b">
        <f t="shared" si="28"/>
        <v>0</v>
      </c>
      <c r="K100" s="162">
        <f>'登録DATA'!I96</f>
        <v>0</v>
      </c>
      <c r="L100" s="50"/>
      <c r="M100" s="50"/>
      <c r="N100" s="55"/>
      <c r="O100" s="83"/>
      <c r="P100" s="51">
        <f>IF(O100="","",IF(J100=1,VLOOKUP(O100,'男子種目コード'!$A$1:$B$15,2,FALSE),IF(J100=2,VLOOKUP(O100,'女子種目コード'!$A$1:$B$14,2,FALSE))))</f>
      </c>
      <c r="Q100" s="67"/>
      <c r="R100" s="184"/>
      <c r="S100" s="184"/>
      <c r="T100" s="83"/>
      <c r="U100" s="51">
        <f>IF(T100="","",IF(J100=1,VLOOKUP(T100,'男子種目コード'!$A$1:$B$15,2,FALSE),IF(J100=2,VLOOKUP(T100,'女子種目コード'!$A$1:$B$14,2,FALSE))))</f>
      </c>
      <c r="V100" s="73"/>
      <c r="W100" s="184"/>
      <c r="X100" s="184"/>
      <c r="Y100" s="75"/>
      <c r="Z100" s="21">
        <f>IF(Y100="","",IF(J100=1,VLOOKUP(Y100,'男子種目コード'!$A$1:$B$13,2,FALSE),IF(J100=2,VLOOKUP(Y100,'女子種目コード'!$A$1:$B$10,2,FALSE))))</f>
      </c>
      <c r="AA100" s="12"/>
      <c r="AB100" s="188"/>
      <c r="AC100" s="188"/>
      <c r="AD100" s="3"/>
      <c r="AE100" s="1">
        <f t="shared" si="29"/>
      </c>
      <c r="AF100" s="1">
        <f t="shared" si="30"/>
      </c>
      <c r="AG100" s="26"/>
      <c r="AH100" s="26"/>
      <c r="AI100" s="26"/>
      <c r="AJ100" s="26"/>
      <c r="AK100" s="26"/>
      <c r="AL100" s="26"/>
      <c r="AM100" s="26"/>
      <c r="AN100" s="26"/>
      <c r="AO100" s="43">
        <f t="shared" si="31"/>
        <v>0</v>
      </c>
      <c r="AP100" s="26"/>
      <c r="AQ100" s="1">
        <f t="shared" si="32"/>
        <v>0</v>
      </c>
      <c r="AR100" s="1">
        <f t="shared" si="33"/>
      </c>
      <c r="AS100" s="1">
        <f t="shared" si="34"/>
      </c>
      <c r="AT100" s="1" t="s">
        <v>119</v>
      </c>
      <c r="AU100" s="3">
        <v>2345030</v>
      </c>
      <c r="AY100" s="197"/>
      <c r="AZ100" s="197"/>
      <c r="BA100" s="197"/>
    </row>
    <row r="101" spans="1:53" ht="13.5">
      <c r="A101" s="99">
        <f t="shared" si="25"/>
        <v>0</v>
      </c>
      <c r="B101" s="97">
        <f t="shared" si="26"/>
        <v>0</v>
      </c>
      <c r="C101" s="129"/>
      <c r="D101" s="79">
        <f>'登録DATA'!E97</f>
        <v>0</v>
      </c>
      <c r="E101" s="180"/>
      <c r="F101" s="160">
        <f>'登録DATA'!G97</f>
        <v>0</v>
      </c>
      <c r="G101" s="160">
        <f>'登録DATA'!H97</f>
        <v>0</v>
      </c>
      <c r="H101" s="156">
        <f t="shared" si="27"/>
        <v>0</v>
      </c>
      <c r="I101" s="161">
        <f>'登録DATA'!J97</f>
        <v>0</v>
      </c>
      <c r="J101" s="155" t="b">
        <f t="shared" si="28"/>
        <v>0</v>
      </c>
      <c r="K101" s="162">
        <f>'登録DATA'!I97</f>
        <v>0</v>
      </c>
      <c r="L101" s="50"/>
      <c r="M101" s="50"/>
      <c r="N101" s="55"/>
      <c r="O101" s="83"/>
      <c r="P101" s="51">
        <f>IF(O101="","",IF(J101=1,VLOOKUP(O101,'男子種目コード'!$A$1:$B$15,2,FALSE),IF(J101=2,VLOOKUP(O101,'女子種目コード'!$A$1:$B$14,2,FALSE))))</f>
      </c>
      <c r="Q101" s="67"/>
      <c r="R101" s="184"/>
      <c r="S101" s="184"/>
      <c r="T101" s="83"/>
      <c r="U101" s="51">
        <f>IF(T101="","",IF(J101=1,VLOOKUP(T101,'男子種目コード'!$A$1:$B$15,2,FALSE),IF(J101=2,VLOOKUP(T101,'女子種目コード'!$A$1:$B$14,2,FALSE))))</f>
      </c>
      <c r="V101" s="73"/>
      <c r="W101" s="184"/>
      <c r="X101" s="184"/>
      <c r="Y101" s="75"/>
      <c r="Z101" s="21">
        <f>IF(Y101="","",IF(J101=1,VLOOKUP(Y101,'男子種目コード'!$A$1:$B$13,2,FALSE),IF(J101=2,VLOOKUP(Y101,'女子種目コード'!$A$1:$B$10,2,FALSE))))</f>
      </c>
      <c r="AA101" s="12"/>
      <c r="AB101" s="188"/>
      <c r="AC101" s="188"/>
      <c r="AD101" s="3"/>
      <c r="AE101" s="1">
        <f t="shared" si="29"/>
      </c>
      <c r="AF101" s="1">
        <f t="shared" si="30"/>
      </c>
      <c r="AG101" s="26"/>
      <c r="AH101" s="26"/>
      <c r="AI101" s="26"/>
      <c r="AJ101" s="26"/>
      <c r="AK101" s="26"/>
      <c r="AL101" s="26"/>
      <c r="AM101" s="26"/>
      <c r="AN101" s="26"/>
      <c r="AO101" s="43">
        <f t="shared" si="31"/>
        <v>0</v>
      </c>
      <c r="AP101" s="26"/>
      <c r="AQ101" s="1">
        <f t="shared" si="32"/>
        <v>0</v>
      </c>
      <c r="AR101" s="1">
        <f t="shared" si="33"/>
      </c>
      <c r="AS101" s="1">
        <f t="shared" si="34"/>
      </c>
      <c r="AT101" s="1" t="s">
        <v>241</v>
      </c>
      <c r="AU101" s="3">
        <v>2345031</v>
      </c>
      <c r="AY101" s="197"/>
      <c r="AZ101" s="197"/>
      <c r="BA101" s="197"/>
    </row>
    <row r="102" spans="1:53" ht="13.5">
      <c r="A102" s="99">
        <f t="shared" si="25"/>
        <v>0</v>
      </c>
      <c r="B102" s="97">
        <f t="shared" si="26"/>
        <v>0</v>
      </c>
      <c r="C102" s="129"/>
      <c r="D102" s="79">
        <f>'登録DATA'!E98</f>
        <v>0</v>
      </c>
      <c r="E102" s="180"/>
      <c r="F102" s="160">
        <f>'登録DATA'!G98</f>
        <v>0</v>
      </c>
      <c r="G102" s="160">
        <f>'登録DATA'!H98</f>
        <v>0</v>
      </c>
      <c r="H102" s="156">
        <f t="shared" si="27"/>
        <v>0</v>
      </c>
      <c r="I102" s="161">
        <f>'登録DATA'!J98</f>
        <v>0</v>
      </c>
      <c r="J102" s="155" t="b">
        <f t="shared" si="28"/>
        <v>0</v>
      </c>
      <c r="K102" s="162">
        <f>'登録DATA'!I98</f>
        <v>0</v>
      </c>
      <c r="L102" s="50"/>
      <c r="M102" s="50"/>
      <c r="N102" s="55"/>
      <c r="O102" s="83"/>
      <c r="P102" s="51">
        <f>IF(O102="","",IF(J102=1,VLOOKUP(O102,'男子種目コード'!$A$1:$B$15,2,FALSE),IF(J102=2,VLOOKUP(O102,'女子種目コード'!$A$1:$B$14,2,FALSE))))</f>
      </c>
      <c r="Q102" s="67"/>
      <c r="R102" s="184"/>
      <c r="S102" s="184"/>
      <c r="T102" s="83"/>
      <c r="U102" s="51">
        <f>IF(T102="","",IF(J102=1,VLOOKUP(T102,'男子種目コード'!$A$1:$B$15,2,FALSE),IF(J102=2,VLOOKUP(T102,'女子種目コード'!$A$1:$B$14,2,FALSE))))</f>
      </c>
      <c r="V102" s="73"/>
      <c r="W102" s="184"/>
      <c r="X102" s="184"/>
      <c r="Y102" s="75"/>
      <c r="Z102" s="21">
        <f>IF(Y102="","",IF(J102=1,VLOOKUP(Y102,'男子種目コード'!$A$1:$B$13,2,FALSE),IF(J102=2,VLOOKUP(Y102,'女子種目コード'!$A$1:$B$10,2,FALSE))))</f>
      </c>
      <c r="AA102" s="12"/>
      <c r="AB102" s="188"/>
      <c r="AC102" s="188"/>
      <c r="AD102" s="3"/>
      <c r="AE102" s="1">
        <f t="shared" si="29"/>
      </c>
      <c r="AF102" s="1">
        <f t="shared" si="30"/>
      </c>
      <c r="AG102" s="26"/>
      <c r="AH102" s="26"/>
      <c r="AI102" s="26"/>
      <c r="AJ102" s="26"/>
      <c r="AK102" s="26"/>
      <c r="AL102" s="26"/>
      <c r="AM102" s="26"/>
      <c r="AN102" s="26"/>
      <c r="AO102" s="43">
        <f t="shared" si="31"/>
        <v>0</v>
      </c>
      <c r="AP102" s="26"/>
      <c r="AQ102" s="1">
        <f t="shared" si="32"/>
        <v>0</v>
      </c>
      <c r="AR102" s="1">
        <f t="shared" si="33"/>
      </c>
      <c r="AS102" s="1">
        <f t="shared" si="34"/>
      </c>
      <c r="AT102" s="1" t="s">
        <v>120</v>
      </c>
      <c r="AU102" s="3">
        <v>2345032</v>
      </c>
      <c r="AY102" s="197"/>
      <c r="AZ102" s="197"/>
      <c r="BA102" s="197"/>
    </row>
    <row r="103" spans="1:53" ht="13.5">
      <c r="A103" s="99">
        <f t="shared" si="25"/>
        <v>0</v>
      </c>
      <c r="B103" s="97">
        <f t="shared" si="26"/>
        <v>0</v>
      </c>
      <c r="C103" s="129"/>
      <c r="D103" s="79">
        <f>'登録DATA'!E99</f>
        <v>0</v>
      </c>
      <c r="E103" s="180"/>
      <c r="F103" s="160">
        <f>'登録DATA'!G99</f>
        <v>0</v>
      </c>
      <c r="G103" s="160">
        <f>'登録DATA'!H99</f>
        <v>0</v>
      </c>
      <c r="H103" s="156">
        <f t="shared" si="27"/>
        <v>0</v>
      </c>
      <c r="I103" s="161">
        <f>'登録DATA'!J99</f>
        <v>0</v>
      </c>
      <c r="J103" s="155" t="b">
        <f t="shared" si="28"/>
        <v>0</v>
      </c>
      <c r="K103" s="162">
        <f>'登録DATA'!I99</f>
        <v>0</v>
      </c>
      <c r="L103" s="50"/>
      <c r="M103" s="50"/>
      <c r="N103" s="55"/>
      <c r="O103" s="83"/>
      <c r="P103" s="51">
        <f>IF(O103="","",IF(J103=1,VLOOKUP(O103,'男子種目コード'!$A$1:$B$15,2,FALSE),IF(J103=2,VLOOKUP(O103,'女子種目コード'!$A$1:$B$14,2,FALSE))))</f>
      </c>
      <c r="Q103" s="67"/>
      <c r="R103" s="184"/>
      <c r="S103" s="184"/>
      <c r="T103" s="83"/>
      <c r="U103" s="51">
        <f>IF(T103="","",IF(J103=1,VLOOKUP(T103,'男子種目コード'!$A$1:$B$15,2,FALSE),IF(J103=2,VLOOKUP(T103,'女子種目コード'!$A$1:$B$14,2,FALSE))))</f>
      </c>
      <c r="V103" s="73"/>
      <c r="W103" s="184"/>
      <c r="X103" s="184"/>
      <c r="Y103" s="75"/>
      <c r="Z103" s="21">
        <f>IF(Y103="","",IF(J103=1,VLOOKUP(Y103,'男子種目コード'!$A$1:$B$13,2,FALSE),IF(J103=2,VLOOKUP(Y103,'女子種目コード'!$A$1:$B$10,2,FALSE))))</f>
      </c>
      <c r="AA103" s="12"/>
      <c r="AB103" s="188"/>
      <c r="AC103" s="188"/>
      <c r="AD103" s="3"/>
      <c r="AE103" s="1">
        <f t="shared" si="29"/>
      </c>
      <c r="AF103" s="1">
        <f t="shared" si="30"/>
      </c>
      <c r="AG103" s="26"/>
      <c r="AH103" s="26"/>
      <c r="AI103" s="26"/>
      <c r="AJ103" s="26"/>
      <c r="AK103" s="26"/>
      <c r="AL103" s="26"/>
      <c r="AM103" s="26"/>
      <c r="AN103" s="26"/>
      <c r="AO103" s="43">
        <f t="shared" si="31"/>
        <v>0</v>
      </c>
      <c r="AP103" s="26"/>
      <c r="AQ103" s="1">
        <f t="shared" si="32"/>
        <v>0</v>
      </c>
      <c r="AR103" s="1">
        <f t="shared" si="33"/>
      </c>
      <c r="AS103" s="1">
        <f t="shared" si="34"/>
      </c>
      <c r="AT103" s="1" t="s">
        <v>121</v>
      </c>
      <c r="AU103" s="3">
        <v>2345033</v>
      </c>
      <c r="AY103" s="197"/>
      <c r="AZ103" s="197"/>
      <c r="BA103" s="197"/>
    </row>
    <row r="104" spans="1:53" ht="13.5">
      <c r="A104" s="99">
        <f t="shared" si="25"/>
        <v>0</v>
      </c>
      <c r="B104" s="97">
        <f t="shared" si="26"/>
        <v>0</v>
      </c>
      <c r="C104" s="129"/>
      <c r="D104" s="79">
        <f>'登録DATA'!E100</f>
        <v>0</v>
      </c>
      <c r="E104" s="180"/>
      <c r="F104" s="160">
        <f>'登録DATA'!G100</f>
        <v>0</v>
      </c>
      <c r="G104" s="160">
        <f>'登録DATA'!H100</f>
        <v>0</v>
      </c>
      <c r="H104" s="156">
        <f t="shared" si="27"/>
        <v>0</v>
      </c>
      <c r="I104" s="161">
        <f>'登録DATA'!J100</f>
        <v>0</v>
      </c>
      <c r="J104" s="155" t="b">
        <f t="shared" si="28"/>
        <v>0</v>
      </c>
      <c r="K104" s="162">
        <f>'登録DATA'!I100</f>
        <v>0</v>
      </c>
      <c r="L104" s="50"/>
      <c r="M104" s="50"/>
      <c r="N104" s="55"/>
      <c r="O104" s="83"/>
      <c r="P104" s="51">
        <f>IF(O104="","",IF(J104=1,VLOOKUP(O104,'男子種目コード'!$A$1:$B$15,2,FALSE),IF(J104=2,VLOOKUP(O104,'女子種目コード'!$A$1:$B$14,2,FALSE))))</f>
      </c>
      <c r="Q104" s="67"/>
      <c r="R104" s="184"/>
      <c r="S104" s="184"/>
      <c r="T104" s="83"/>
      <c r="U104" s="51">
        <f>IF(T104="","",IF(J104=1,VLOOKUP(T104,'男子種目コード'!$A$1:$B$15,2,FALSE),IF(J104=2,VLOOKUP(T104,'女子種目コード'!$A$1:$B$14,2,FALSE))))</f>
      </c>
      <c r="V104" s="73"/>
      <c r="W104" s="184"/>
      <c r="X104" s="184"/>
      <c r="Y104" s="75"/>
      <c r="Z104" s="21">
        <f>IF(Y104="","",IF(J104=1,VLOOKUP(Y104,'男子種目コード'!$A$1:$B$13,2,FALSE),IF(J104=2,VLOOKUP(Y104,'女子種目コード'!$A$1:$B$10,2,FALSE))))</f>
      </c>
      <c r="AA104" s="12"/>
      <c r="AB104" s="188"/>
      <c r="AC104" s="188"/>
      <c r="AD104" s="3"/>
      <c r="AE104" s="1">
        <f t="shared" si="29"/>
      </c>
      <c r="AF104" s="1">
        <f t="shared" si="30"/>
      </c>
      <c r="AG104" s="26"/>
      <c r="AH104" s="26"/>
      <c r="AI104" s="26"/>
      <c r="AJ104" s="26"/>
      <c r="AK104" s="26"/>
      <c r="AL104" s="26"/>
      <c r="AM104" s="26"/>
      <c r="AN104" s="26"/>
      <c r="AO104" s="43">
        <f t="shared" si="31"/>
        <v>0</v>
      </c>
      <c r="AP104" s="26"/>
      <c r="AQ104" s="1">
        <f t="shared" si="32"/>
        <v>0</v>
      </c>
      <c r="AR104" s="1">
        <f t="shared" si="33"/>
      </c>
      <c r="AS104" s="1">
        <f t="shared" si="34"/>
      </c>
      <c r="AT104" s="1" t="s">
        <v>122</v>
      </c>
      <c r="AU104" s="3">
        <v>2345034</v>
      </c>
      <c r="AY104" s="197"/>
      <c r="AZ104" s="197"/>
      <c r="BA104" s="197"/>
    </row>
    <row r="105" spans="1:53" ht="13.5">
      <c r="A105" s="99">
        <f t="shared" si="25"/>
        <v>0</v>
      </c>
      <c r="B105" s="97">
        <f t="shared" si="26"/>
        <v>0</v>
      </c>
      <c r="C105" s="129"/>
      <c r="D105" s="79">
        <f>'登録DATA'!E101</f>
        <v>0</v>
      </c>
      <c r="E105" s="180"/>
      <c r="F105" s="160">
        <f>'登録DATA'!G101</f>
        <v>0</v>
      </c>
      <c r="G105" s="160">
        <f>'登録DATA'!H101</f>
        <v>0</v>
      </c>
      <c r="H105" s="156">
        <f t="shared" si="27"/>
        <v>0</v>
      </c>
      <c r="I105" s="161">
        <f>'登録DATA'!J101</f>
        <v>0</v>
      </c>
      <c r="J105" s="155" t="b">
        <f t="shared" si="28"/>
        <v>0</v>
      </c>
      <c r="K105" s="162">
        <f>'登録DATA'!I101</f>
        <v>0</v>
      </c>
      <c r="L105" s="50"/>
      <c r="M105" s="50"/>
      <c r="N105" s="55"/>
      <c r="O105" s="83"/>
      <c r="P105" s="51">
        <f>IF(O105="","",IF(J105=1,VLOOKUP(O105,'男子種目コード'!$A$1:$B$15,2,FALSE),IF(J105=2,VLOOKUP(O105,'女子種目コード'!$A$1:$B$14,2,FALSE))))</f>
      </c>
      <c r="Q105" s="67"/>
      <c r="R105" s="184"/>
      <c r="S105" s="184"/>
      <c r="T105" s="83"/>
      <c r="U105" s="51">
        <f>IF(T105="","",IF(J105=1,VLOOKUP(T105,'男子種目コード'!$A$1:$B$15,2,FALSE),IF(J105=2,VLOOKUP(T105,'女子種目コード'!$A$1:$B$14,2,FALSE))))</f>
      </c>
      <c r="V105" s="73"/>
      <c r="W105" s="184"/>
      <c r="X105" s="184"/>
      <c r="Y105" s="75"/>
      <c r="Z105" s="21">
        <f>IF(Y105="","",IF(J105=1,VLOOKUP(Y105,'男子種目コード'!$A$1:$B$13,2,FALSE),IF(J105=2,VLOOKUP(Y105,'女子種目コード'!$A$1:$B$10,2,FALSE))))</f>
      </c>
      <c r="AA105" s="12"/>
      <c r="AB105" s="188"/>
      <c r="AC105" s="188"/>
      <c r="AD105" s="3"/>
      <c r="AE105" s="1">
        <f t="shared" si="29"/>
      </c>
      <c r="AF105" s="1">
        <f t="shared" si="30"/>
      </c>
      <c r="AG105" s="26"/>
      <c r="AH105" s="26"/>
      <c r="AI105" s="26"/>
      <c r="AJ105" s="26"/>
      <c r="AK105" s="26"/>
      <c r="AL105" s="26"/>
      <c r="AM105" s="26"/>
      <c r="AN105" s="26"/>
      <c r="AO105" s="43">
        <f aca="true" t="shared" si="35" ref="AO105:AO121">IF(OR(AE100=1,Y100=""),0,1)</f>
        <v>0</v>
      </c>
      <c r="AP105" s="26"/>
      <c r="AQ105" s="1">
        <f aca="true" t="shared" si="36" ref="AQ105:AQ121">COUNT(P100,U100)</f>
        <v>0</v>
      </c>
      <c r="AR105" s="1">
        <f t="shared" si="33"/>
      </c>
      <c r="AS105" s="1">
        <f t="shared" si="34"/>
      </c>
      <c r="AT105" s="1" t="s">
        <v>123</v>
      </c>
      <c r="AU105" s="3">
        <v>2345035</v>
      </c>
      <c r="AY105" s="197"/>
      <c r="AZ105" s="197"/>
      <c r="BA105" s="197"/>
    </row>
    <row r="106" spans="1:53" ht="13.5">
      <c r="A106" s="99">
        <f t="shared" si="25"/>
        <v>0</v>
      </c>
      <c r="B106" s="97">
        <f t="shared" si="26"/>
        <v>0</v>
      </c>
      <c r="C106" s="129"/>
      <c r="D106" s="79">
        <f>'登録DATA'!E102</f>
        <v>0</v>
      </c>
      <c r="E106" s="180"/>
      <c r="F106" s="160">
        <f>'登録DATA'!G102</f>
        <v>0</v>
      </c>
      <c r="G106" s="160">
        <f>'登録DATA'!H102</f>
        <v>0</v>
      </c>
      <c r="H106" s="156">
        <f t="shared" si="27"/>
        <v>0</v>
      </c>
      <c r="I106" s="161">
        <f>'登録DATA'!J102</f>
        <v>0</v>
      </c>
      <c r="J106" s="155" t="b">
        <f t="shared" si="28"/>
        <v>0</v>
      </c>
      <c r="K106" s="162">
        <f>'登録DATA'!I102</f>
        <v>0</v>
      </c>
      <c r="L106" s="50"/>
      <c r="M106" s="50"/>
      <c r="N106" s="81"/>
      <c r="O106" s="83"/>
      <c r="P106" s="51">
        <f>IF(O106="","",IF(J106=1,VLOOKUP(O106,'男子種目コード'!$A$1:$B$15,2,FALSE),IF(J106=2,VLOOKUP(O106,'女子種目コード'!$A$1:$B$14,2,FALSE))))</f>
      </c>
      <c r="Q106" s="67"/>
      <c r="R106" s="184"/>
      <c r="S106" s="184"/>
      <c r="T106" s="83"/>
      <c r="U106" s="51">
        <f>IF(T106="","",IF(J106=1,VLOOKUP(T106,'男子種目コード'!$A$1:$B$15,2,FALSE),IF(J106=2,VLOOKUP(T106,'女子種目コード'!$A$1:$B$14,2,FALSE))))</f>
      </c>
      <c r="V106" s="73"/>
      <c r="W106" s="184"/>
      <c r="X106" s="184"/>
      <c r="Y106" s="75"/>
      <c r="Z106" s="21">
        <f>IF(Y106="","",IF(J106=1,VLOOKUP(Y106,'男子種目コード'!$A$1:$B$13,2,FALSE),IF(J106=2,VLOOKUP(Y106,'女子種目コード'!$A$1:$B$10,2,FALSE))))</f>
      </c>
      <c r="AA106" s="12"/>
      <c r="AB106" s="188"/>
      <c r="AC106" s="188"/>
      <c r="AD106" s="3"/>
      <c r="AE106" s="1">
        <f t="shared" si="29"/>
      </c>
      <c r="AF106" s="1">
        <f t="shared" si="30"/>
      </c>
      <c r="AG106" s="26"/>
      <c r="AH106" s="26"/>
      <c r="AI106" s="26"/>
      <c r="AJ106" s="26"/>
      <c r="AK106" s="26"/>
      <c r="AL106" s="26"/>
      <c r="AM106" s="26"/>
      <c r="AN106" s="26"/>
      <c r="AO106" s="43">
        <f t="shared" si="35"/>
        <v>0</v>
      </c>
      <c r="AP106" s="26"/>
      <c r="AQ106" s="1">
        <f t="shared" si="36"/>
        <v>0</v>
      </c>
      <c r="AR106" s="1">
        <f aca="true" t="shared" si="37" ref="AR106:AR137">IF(J101=1,AQ106,"")</f>
      </c>
      <c r="AS106" s="1">
        <f aca="true" t="shared" si="38" ref="AS106:AS137">IF(J101=2,AQ106,"")</f>
      </c>
      <c r="AT106" s="1" t="s">
        <v>124</v>
      </c>
      <c r="AU106" s="3">
        <v>2345036</v>
      </c>
      <c r="AY106" s="197"/>
      <c r="AZ106" s="197"/>
      <c r="BA106" s="197"/>
    </row>
    <row r="107" spans="1:53" ht="13.5">
      <c r="A107" s="99">
        <f t="shared" si="25"/>
        <v>0</v>
      </c>
      <c r="B107" s="97">
        <f t="shared" si="26"/>
        <v>0</v>
      </c>
      <c r="C107" s="129"/>
      <c r="D107" s="79">
        <f>'登録DATA'!E103</f>
        <v>0</v>
      </c>
      <c r="E107" s="180"/>
      <c r="F107" s="160">
        <f>'登録DATA'!G103</f>
        <v>0</v>
      </c>
      <c r="G107" s="160">
        <f>'登録DATA'!H103</f>
        <v>0</v>
      </c>
      <c r="H107" s="156">
        <f t="shared" si="27"/>
        <v>0</v>
      </c>
      <c r="I107" s="161">
        <f>'登録DATA'!J103</f>
        <v>0</v>
      </c>
      <c r="J107" s="155" t="b">
        <f t="shared" si="28"/>
        <v>0</v>
      </c>
      <c r="K107" s="162">
        <f>'登録DATA'!I103</f>
        <v>0</v>
      </c>
      <c r="L107" s="50"/>
      <c r="M107" s="50"/>
      <c r="N107" s="81"/>
      <c r="O107" s="83"/>
      <c r="P107" s="51">
        <f>IF(O107="","",IF(J107=1,VLOOKUP(O107,'男子種目コード'!$A$1:$B$15,2,FALSE),IF(J107=2,VLOOKUP(O107,'女子種目コード'!$A$1:$B$14,2,FALSE))))</f>
      </c>
      <c r="Q107" s="67"/>
      <c r="R107" s="184"/>
      <c r="S107" s="184"/>
      <c r="T107" s="83"/>
      <c r="U107" s="51">
        <f>IF(T107="","",IF(J107=1,VLOOKUP(T107,'男子種目コード'!$A$1:$B$15,2,FALSE),IF(J107=2,VLOOKUP(T107,'女子種目コード'!$A$1:$B$14,2,FALSE))))</f>
      </c>
      <c r="V107" s="73"/>
      <c r="W107" s="184"/>
      <c r="X107" s="184"/>
      <c r="Y107" s="75"/>
      <c r="Z107" s="21">
        <f>IF(Y107="","",IF(J107=1,VLOOKUP(Y107,'男子種目コード'!$A$1:$B$13,2,FALSE),IF(J107=2,VLOOKUP(Y107,'女子種目コード'!$A$1:$B$10,2,FALSE))))</f>
      </c>
      <c r="AA107" s="12"/>
      <c r="AB107" s="188"/>
      <c r="AC107" s="188"/>
      <c r="AD107" s="3"/>
      <c r="AE107" s="1">
        <f t="shared" si="29"/>
      </c>
      <c r="AF107" s="1">
        <f t="shared" si="30"/>
      </c>
      <c r="AG107" s="26"/>
      <c r="AH107" s="26"/>
      <c r="AI107" s="26"/>
      <c r="AJ107" s="26"/>
      <c r="AK107" s="26"/>
      <c r="AL107" s="26"/>
      <c r="AM107" s="26"/>
      <c r="AN107" s="26"/>
      <c r="AO107" s="43">
        <f t="shared" si="35"/>
        <v>0</v>
      </c>
      <c r="AP107" s="26"/>
      <c r="AQ107" s="1">
        <f t="shared" si="36"/>
        <v>0</v>
      </c>
      <c r="AR107" s="1">
        <f t="shared" si="37"/>
      </c>
      <c r="AS107" s="1">
        <f t="shared" si="38"/>
      </c>
      <c r="AT107" s="1" t="s">
        <v>125</v>
      </c>
      <c r="AU107" s="3">
        <v>2345037</v>
      </c>
      <c r="AY107" s="197"/>
      <c r="AZ107" s="197"/>
      <c r="BA107" s="197"/>
    </row>
    <row r="108" spans="1:53" ht="13.5">
      <c r="A108" s="99">
        <f t="shared" si="25"/>
        <v>0</v>
      </c>
      <c r="B108" s="97">
        <f t="shared" si="26"/>
        <v>0</v>
      </c>
      <c r="C108" s="129"/>
      <c r="D108" s="79">
        <f>'登録DATA'!E104</f>
        <v>0</v>
      </c>
      <c r="E108" s="180"/>
      <c r="F108" s="160">
        <f>'登録DATA'!G104</f>
        <v>0</v>
      </c>
      <c r="G108" s="160">
        <f>'登録DATA'!H104</f>
        <v>0</v>
      </c>
      <c r="H108" s="156">
        <f t="shared" si="27"/>
        <v>0</v>
      </c>
      <c r="I108" s="161">
        <f>'登録DATA'!J104</f>
        <v>0</v>
      </c>
      <c r="J108" s="155" t="b">
        <f t="shared" si="28"/>
        <v>0</v>
      </c>
      <c r="K108" s="162">
        <f>'登録DATA'!I104</f>
        <v>0</v>
      </c>
      <c r="L108" s="50"/>
      <c r="M108" s="50"/>
      <c r="N108" s="81"/>
      <c r="O108" s="83"/>
      <c r="P108" s="51">
        <f>IF(O108="","",IF(J108=1,VLOOKUP(O108,'男子種目コード'!$A$1:$B$15,2,FALSE),IF(J108=2,VLOOKUP(O108,'女子種目コード'!$A$1:$B$14,2,FALSE))))</f>
      </c>
      <c r="Q108" s="67"/>
      <c r="R108" s="184"/>
      <c r="S108" s="184"/>
      <c r="T108" s="83"/>
      <c r="U108" s="51">
        <f>IF(T108="","",IF(J108=1,VLOOKUP(T108,'男子種目コード'!$A$1:$B$15,2,FALSE),IF(J108=2,VLOOKUP(T108,'女子種目コード'!$A$1:$B$14,2,FALSE))))</f>
      </c>
      <c r="V108" s="73"/>
      <c r="W108" s="184"/>
      <c r="X108" s="184"/>
      <c r="Y108" s="75"/>
      <c r="Z108" s="21">
        <f>IF(Y108="","",IF(J108=1,VLOOKUP(Y108,'男子種目コード'!$A$1:$B$13,2,FALSE),IF(J108=2,VLOOKUP(Y108,'女子種目コード'!$A$1:$B$10,2,FALSE))))</f>
      </c>
      <c r="AA108" s="12"/>
      <c r="AB108" s="188"/>
      <c r="AC108" s="188"/>
      <c r="AD108" s="3"/>
      <c r="AE108" s="1">
        <f t="shared" si="29"/>
      </c>
      <c r="AF108" s="1">
        <f t="shared" si="30"/>
      </c>
      <c r="AG108" s="26"/>
      <c r="AH108" s="26"/>
      <c r="AI108" s="26"/>
      <c r="AJ108" s="26"/>
      <c r="AK108" s="26"/>
      <c r="AL108" s="26"/>
      <c r="AM108" s="26"/>
      <c r="AN108" s="26"/>
      <c r="AO108" s="43">
        <f t="shared" si="35"/>
        <v>0</v>
      </c>
      <c r="AP108" s="26"/>
      <c r="AQ108" s="1">
        <f t="shared" si="36"/>
        <v>0</v>
      </c>
      <c r="AR108" s="1">
        <f t="shared" si="37"/>
      </c>
      <c r="AS108" s="1">
        <f t="shared" si="38"/>
      </c>
      <c r="AT108" s="1" t="s">
        <v>126</v>
      </c>
      <c r="AU108" s="3">
        <v>2345038</v>
      </c>
      <c r="AY108" s="197"/>
      <c r="AZ108" s="197"/>
      <c r="BA108" s="197"/>
    </row>
    <row r="109" spans="1:53" ht="13.5">
      <c r="A109" s="99">
        <f t="shared" si="25"/>
        <v>0</v>
      </c>
      <c r="B109" s="97">
        <f t="shared" si="26"/>
        <v>0</v>
      </c>
      <c r="C109" s="129"/>
      <c r="D109" s="79">
        <f>'登録DATA'!E105</f>
        <v>0</v>
      </c>
      <c r="E109" s="180"/>
      <c r="F109" s="160">
        <f>'登録DATA'!G105</f>
        <v>0</v>
      </c>
      <c r="G109" s="160">
        <f>'登録DATA'!H105</f>
        <v>0</v>
      </c>
      <c r="H109" s="156">
        <f t="shared" si="27"/>
        <v>0</v>
      </c>
      <c r="I109" s="161">
        <f>'登録DATA'!J105</f>
        <v>0</v>
      </c>
      <c r="J109" s="155" t="b">
        <f t="shared" si="28"/>
        <v>0</v>
      </c>
      <c r="K109" s="162">
        <f>'登録DATA'!I105</f>
        <v>0</v>
      </c>
      <c r="L109" s="50"/>
      <c r="M109" s="50"/>
      <c r="N109" s="81"/>
      <c r="O109" s="83"/>
      <c r="P109" s="51">
        <f>IF(O109="","",IF(J109=1,VLOOKUP(O109,'男子種目コード'!$A$1:$B$15,2,FALSE),IF(J109=2,VLOOKUP(O109,'女子種目コード'!$A$1:$B$14,2,FALSE))))</f>
      </c>
      <c r="Q109" s="67"/>
      <c r="R109" s="184"/>
      <c r="S109" s="184"/>
      <c r="T109" s="83"/>
      <c r="U109" s="51">
        <f>IF(T109="","",IF(J109=1,VLOOKUP(T109,'男子種目コード'!$A$1:$B$15,2,FALSE),IF(J109=2,VLOOKUP(T109,'女子種目コード'!$A$1:$B$14,2,FALSE))))</f>
      </c>
      <c r="V109" s="73"/>
      <c r="W109" s="184"/>
      <c r="X109" s="184"/>
      <c r="Y109" s="75"/>
      <c r="Z109" s="21">
        <f>IF(Y109="","",IF(J109=1,VLOOKUP(Y109,'男子種目コード'!$A$1:$B$13,2,FALSE),IF(J109=2,VLOOKUP(Y109,'女子種目コード'!$A$1:$B$10,2,FALSE))))</f>
      </c>
      <c r="AA109" s="12"/>
      <c r="AB109" s="188"/>
      <c r="AC109" s="188"/>
      <c r="AD109" s="3"/>
      <c r="AE109" s="1">
        <f t="shared" si="29"/>
      </c>
      <c r="AF109" s="1">
        <f t="shared" si="30"/>
      </c>
      <c r="AG109" s="26"/>
      <c r="AH109" s="26"/>
      <c r="AI109" s="26"/>
      <c r="AJ109" s="26"/>
      <c r="AK109" s="26"/>
      <c r="AL109" s="26"/>
      <c r="AM109" s="26"/>
      <c r="AN109" s="26"/>
      <c r="AO109" s="43">
        <f t="shared" si="35"/>
        <v>0</v>
      </c>
      <c r="AP109" s="26"/>
      <c r="AQ109" s="1">
        <f t="shared" si="36"/>
        <v>0</v>
      </c>
      <c r="AR109" s="1">
        <f t="shared" si="37"/>
      </c>
      <c r="AS109" s="1">
        <f t="shared" si="38"/>
      </c>
      <c r="AT109" s="1" t="s">
        <v>127</v>
      </c>
      <c r="AU109" s="3">
        <v>2345039</v>
      </c>
      <c r="AY109" s="197"/>
      <c r="AZ109" s="197"/>
      <c r="BA109" s="197"/>
    </row>
    <row r="110" spans="1:53" ht="13.5">
      <c r="A110" s="99">
        <f t="shared" si="25"/>
        <v>0</v>
      </c>
      <c r="B110" s="97">
        <f t="shared" si="26"/>
        <v>0</v>
      </c>
      <c r="C110" s="129"/>
      <c r="D110" s="79">
        <f>'登録DATA'!E106</f>
        <v>0</v>
      </c>
      <c r="E110" s="180"/>
      <c r="F110" s="160">
        <f>'登録DATA'!G106</f>
        <v>0</v>
      </c>
      <c r="G110" s="160">
        <f>'登録DATA'!H106</f>
        <v>0</v>
      </c>
      <c r="H110" s="156">
        <f t="shared" si="27"/>
        <v>0</v>
      </c>
      <c r="I110" s="161">
        <f>'登録DATA'!J106</f>
        <v>0</v>
      </c>
      <c r="J110" s="155" t="b">
        <f t="shared" si="28"/>
        <v>0</v>
      </c>
      <c r="K110" s="162">
        <f>'登録DATA'!I106</f>
        <v>0</v>
      </c>
      <c r="L110" s="50"/>
      <c r="M110" s="50"/>
      <c r="N110" s="81"/>
      <c r="O110" s="83"/>
      <c r="P110" s="51">
        <f>IF(O110="","",IF(J110=1,VLOOKUP(O110,'男子種目コード'!$A$1:$B$15,2,FALSE),IF(J110=2,VLOOKUP(O110,'女子種目コード'!$A$1:$B$14,2,FALSE))))</f>
      </c>
      <c r="Q110" s="67"/>
      <c r="R110" s="184"/>
      <c r="S110" s="184"/>
      <c r="T110" s="83"/>
      <c r="U110" s="51">
        <f>IF(T110="","",IF(J110=1,VLOOKUP(T110,'男子種目コード'!$A$1:$B$15,2,FALSE),IF(J110=2,VLOOKUP(T110,'女子種目コード'!$A$1:$B$14,2,FALSE))))</f>
      </c>
      <c r="V110" s="73"/>
      <c r="W110" s="184"/>
      <c r="X110" s="184"/>
      <c r="Y110" s="75"/>
      <c r="Z110" s="21">
        <f>IF(Y110="","",IF(J110=1,VLOOKUP(Y110,'男子種目コード'!$A$1:$B$13,2,FALSE),IF(J110=2,VLOOKUP(Y110,'女子種目コード'!$A$1:$B$10,2,FALSE))))</f>
      </c>
      <c r="AA110" s="12"/>
      <c r="AB110" s="188"/>
      <c r="AC110" s="188"/>
      <c r="AD110" s="3"/>
      <c r="AE110" s="1">
        <f t="shared" si="29"/>
      </c>
      <c r="AF110" s="1">
        <f t="shared" si="30"/>
      </c>
      <c r="AG110" s="26"/>
      <c r="AH110" s="26"/>
      <c r="AI110" s="26"/>
      <c r="AJ110" s="26"/>
      <c r="AK110" s="26"/>
      <c r="AL110" s="26"/>
      <c r="AM110" s="26"/>
      <c r="AN110" s="26"/>
      <c r="AO110" s="43">
        <f t="shared" si="35"/>
        <v>0</v>
      </c>
      <c r="AP110" s="26"/>
      <c r="AQ110" s="1">
        <f t="shared" si="36"/>
        <v>0</v>
      </c>
      <c r="AR110" s="1">
        <f t="shared" si="37"/>
      </c>
      <c r="AS110" s="1">
        <f t="shared" si="38"/>
      </c>
      <c r="AT110" s="1" t="s">
        <v>128</v>
      </c>
      <c r="AU110" s="3">
        <v>2345040</v>
      </c>
      <c r="AY110" s="197"/>
      <c r="AZ110" s="197"/>
      <c r="BA110" s="197"/>
    </row>
    <row r="111" spans="1:53" ht="13.5">
      <c r="A111" s="99">
        <f t="shared" si="25"/>
        <v>0</v>
      </c>
      <c r="B111" s="97">
        <f t="shared" si="26"/>
        <v>0</v>
      </c>
      <c r="C111" s="129"/>
      <c r="D111" s="79">
        <f>'登録DATA'!E107</f>
        <v>0</v>
      </c>
      <c r="E111" s="180"/>
      <c r="F111" s="160">
        <f>'登録DATA'!G107</f>
        <v>0</v>
      </c>
      <c r="G111" s="160">
        <f>'登録DATA'!H107</f>
        <v>0</v>
      </c>
      <c r="H111" s="156">
        <f t="shared" si="27"/>
        <v>0</v>
      </c>
      <c r="I111" s="161">
        <f>'登録DATA'!J107</f>
        <v>0</v>
      </c>
      <c r="J111" s="155" t="b">
        <f t="shared" si="28"/>
        <v>0</v>
      </c>
      <c r="K111" s="162">
        <f>'登録DATA'!I107</f>
        <v>0</v>
      </c>
      <c r="L111" s="50"/>
      <c r="M111" s="50"/>
      <c r="N111" s="81"/>
      <c r="O111" s="83"/>
      <c r="P111" s="51">
        <f>IF(O111="","",IF(J111=1,VLOOKUP(O111,'男子種目コード'!$A$1:$B$15,2,FALSE),IF(J111=2,VLOOKUP(O111,'女子種目コード'!$A$1:$B$14,2,FALSE))))</f>
      </c>
      <c r="Q111" s="67"/>
      <c r="R111" s="184"/>
      <c r="S111" s="184"/>
      <c r="T111" s="83"/>
      <c r="U111" s="51">
        <f>IF(T111="","",IF(J111=1,VLOOKUP(T111,'男子種目コード'!$A$1:$B$15,2,FALSE),IF(J111=2,VLOOKUP(T111,'女子種目コード'!$A$1:$B$14,2,FALSE))))</f>
      </c>
      <c r="V111" s="73"/>
      <c r="W111" s="184"/>
      <c r="X111" s="184"/>
      <c r="Y111" s="75"/>
      <c r="Z111" s="21">
        <f>IF(Y111="","",IF(J111=1,VLOOKUP(Y111,'男子種目コード'!$A$1:$B$13,2,FALSE),IF(J111=2,VLOOKUP(Y111,'女子種目コード'!$A$1:$B$10,2,FALSE))))</f>
      </c>
      <c r="AA111" s="12"/>
      <c r="AB111" s="188"/>
      <c r="AC111" s="188"/>
      <c r="AD111" s="3"/>
      <c r="AE111" s="1">
        <f t="shared" si="29"/>
      </c>
      <c r="AF111" s="1">
        <f t="shared" si="30"/>
      </c>
      <c r="AG111" s="26"/>
      <c r="AH111" s="26"/>
      <c r="AI111" s="26"/>
      <c r="AJ111" s="26"/>
      <c r="AK111" s="26"/>
      <c r="AL111" s="26"/>
      <c r="AM111" s="26"/>
      <c r="AN111" s="26"/>
      <c r="AO111" s="43">
        <f t="shared" si="35"/>
        <v>0</v>
      </c>
      <c r="AP111" s="26"/>
      <c r="AQ111" s="1">
        <f t="shared" si="36"/>
        <v>0</v>
      </c>
      <c r="AR111" s="1">
        <f t="shared" si="37"/>
      </c>
      <c r="AS111" s="1">
        <f t="shared" si="38"/>
      </c>
      <c r="AT111" s="1" t="s">
        <v>129</v>
      </c>
      <c r="AU111" s="3">
        <v>2345041</v>
      </c>
      <c r="AY111" s="197"/>
      <c r="AZ111" s="197"/>
      <c r="BA111" s="197"/>
    </row>
    <row r="112" spans="1:53" ht="13.5">
      <c r="A112" s="99">
        <f t="shared" si="25"/>
        <v>0</v>
      </c>
      <c r="B112" s="97">
        <f t="shared" si="26"/>
        <v>0</v>
      </c>
      <c r="C112" s="129"/>
      <c r="D112" s="79">
        <f>'登録DATA'!E108</f>
        <v>0</v>
      </c>
      <c r="E112" s="180"/>
      <c r="F112" s="160">
        <f>'登録DATA'!G108</f>
        <v>0</v>
      </c>
      <c r="G112" s="160">
        <f>'登録DATA'!H108</f>
        <v>0</v>
      </c>
      <c r="H112" s="156">
        <f t="shared" si="27"/>
        <v>0</v>
      </c>
      <c r="I112" s="161">
        <f>'登録DATA'!J108</f>
        <v>0</v>
      </c>
      <c r="J112" s="155" t="b">
        <f t="shared" si="28"/>
        <v>0</v>
      </c>
      <c r="K112" s="162">
        <f>'登録DATA'!I108</f>
        <v>0</v>
      </c>
      <c r="L112" s="50"/>
      <c r="M112" s="50"/>
      <c r="N112" s="81"/>
      <c r="O112" s="83"/>
      <c r="P112" s="51">
        <f>IF(O112="","",IF(J112=1,VLOOKUP(O112,'男子種目コード'!$A$1:$B$15,2,FALSE),IF(J112=2,VLOOKUP(O112,'女子種目コード'!$A$1:$B$14,2,FALSE))))</f>
      </c>
      <c r="Q112" s="67"/>
      <c r="R112" s="184"/>
      <c r="S112" s="184"/>
      <c r="T112" s="83"/>
      <c r="U112" s="51">
        <f>IF(T112="","",IF(J112=1,VLOOKUP(T112,'男子種目コード'!$A$1:$B$15,2,FALSE),IF(J112=2,VLOOKUP(T112,'女子種目コード'!$A$1:$B$14,2,FALSE))))</f>
      </c>
      <c r="V112" s="73"/>
      <c r="W112" s="184"/>
      <c r="X112" s="184"/>
      <c r="Y112" s="75"/>
      <c r="Z112" s="21">
        <f>IF(Y112="","",IF(J112=1,VLOOKUP(Y112,'男子種目コード'!$A$1:$B$13,2,FALSE),IF(J112=2,VLOOKUP(Y112,'女子種目コード'!$A$1:$B$10,2,FALSE))))</f>
      </c>
      <c r="AA112" s="12"/>
      <c r="AB112" s="188"/>
      <c r="AC112" s="188"/>
      <c r="AD112" s="3"/>
      <c r="AE112" s="1">
        <f t="shared" si="29"/>
      </c>
      <c r="AF112" s="1">
        <f t="shared" si="30"/>
      </c>
      <c r="AG112" s="26"/>
      <c r="AH112" s="26"/>
      <c r="AI112" s="26"/>
      <c r="AJ112" s="26"/>
      <c r="AK112" s="26"/>
      <c r="AL112" s="26"/>
      <c r="AM112" s="26"/>
      <c r="AN112" s="26"/>
      <c r="AO112" s="43">
        <f t="shared" si="35"/>
        <v>0</v>
      </c>
      <c r="AP112" s="26"/>
      <c r="AQ112" s="1">
        <f t="shared" si="36"/>
        <v>0</v>
      </c>
      <c r="AR112" s="1">
        <f t="shared" si="37"/>
      </c>
      <c r="AS112" s="1">
        <f t="shared" si="38"/>
      </c>
      <c r="AT112" s="1" t="s">
        <v>130</v>
      </c>
      <c r="AU112" s="3">
        <v>2345042</v>
      </c>
      <c r="AY112" s="197"/>
      <c r="AZ112" s="197"/>
      <c r="BA112" s="197"/>
    </row>
    <row r="113" spans="1:53" ht="13.5">
      <c r="A113" s="99">
        <f t="shared" si="25"/>
        <v>0</v>
      </c>
      <c r="B113" s="97">
        <f t="shared" si="26"/>
        <v>0</v>
      </c>
      <c r="C113" s="129"/>
      <c r="D113" s="79">
        <f>'登録DATA'!E109</f>
        <v>0</v>
      </c>
      <c r="E113" s="180"/>
      <c r="F113" s="160">
        <f>'登録DATA'!G109</f>
        <v>0</v>
      </c>
      <c r="G113" s="160">
        <f>'登録DATA'!H109</f>
        <v>0</v>
      </c>
      <c r="H113" s="156">
        <f t="shared" si="27"/>
        <v>0</v>
      </c>
      <c r="I113" s="161">
        <f>'登録DATA'!J109</f>
        <v>0</v>
      </c>
      <c r="J113" s="155" t="b">
        <f t="shared" si="28"/>
        <v>0</v>
      </c>
      <c r="K113" s="162">
        <f>'登録DATA'!I109</f>
        <v>0</v>
      </c>
      <c r="L113" s="50"/>
      <c r="M113" s="50"/>
      <c r="N113" s="81"/>
      <c r="O113" s="83"/>
      <c r="P113" s="51">
        <f>IF(O113="","",IF(J113=1,VLOOKUP(O113,'男子種目コード'!$A$1:$B$15,2,FALSE),IF(J113=2,VLOOKUP(O113,'女子種目コード'!$A$1:$B$14,2,FALSE))))</f>
      </c>
      <c r="Q113" s="67"/>
      <c r="R113" s="184"/>
      <c r="S113" s="184"/>
      <c r="T113" s="83"/>
      <c r="U113" s="51">
        <f>IF(T113="","",IF(J113=1,VLOOKUP(T113,'男子種目コード'!$A$1:$B$15,2,FALSE),IF(J113=2,VLOOKUP(T113,'女子種目コード'!$A$1:$B$14,2,FALSE))))</f>
      </c>
      <c r="V113" s="73"/>
      <c r="W113" s="184"/>
      <c r="X113" s="184"/>
      <c r="Y113" s="75"/>
      <c r="Z113" s="21">
        <f>IF(Y113="","",IF(J113=1,VLOOKUP(Y113,'男子種目コード'!$A$1:$B$13,2,FALSE),IF(J113=2,VLOOKUP(Y113,'女子種目コード'!$A$1:$B$10,2,FALSE))))</f>
      </c>
      <c r="AA113" s="12"/>
      <c r="AB113" s="188"/>
      <c r="AC113" s="188"/>
      <c r="AD113" s="3"/>
      <c r="AE113" s="1">
        <f t="shared" si="29"/>
      </c>
      <c r="AF113" s="1">
        <f t="shared" si="30"/>
      </c>
      <c r="AG113" s="26"/>
      <c r="AH113" s="26"/>
      <c r="AI113" s="26"/>
      <c r="AJ113" s="26"/>
      <c r="AK113" s="26"/>
      <c r="AL113" s="26"/>
      <c r="AM113" s="26"/>
      <c r="AN113" s="26"/>
      <c r="AO113" s="43">
        <f t="shared" si="35"/>
        <v>0</v>
      </c>
      <c r="AP113" s="26"/>
      <c r="AQ113" s="1">
        <f t="shared" si="36"/>
        <v>0</v>
      </c>
      <c r="AR113" s="1">
        <f t="shared" si="37"/>
      </c>
      <c r="AS113" s="1">
        <f t="shared" si="38"/>
      </c>
      <c r="AT113" s="1" t="s">
        <v>131</v>
      </c>
      <c r="AU113" s="3">
        <v>2345043</v>
      </c>
      <c r="AY113" s="197"/>
      <c r="AZ113" s="197"/>
      <c r="BA113" s="197"/>
    </row>
    <row r="114" spans="1:53" ht="13.5">
      <c r="A114" s="99">
        <f t="shared" si="25"/>
        <v>0</v>
      </c>
      <c r="B114" s="97">
        <f t="shared" si="26"/>
        <v>0</v>
      </c>
      <c r="C114" s="129"/>
      <c r="D114" s="79">
        <f>'登録DATA'!E110</f>
        <v>0</v>
      </c>
      <c r="E114" s="180"/>
      <c r="F114" s="160">
        <f>'登録DATA'!G110</f>
        <v>0</v>
      </c>
      <c r="G114" s="160">
        <f>'登録DATA'!H110</f>
        <v>0</v>
      </c>
      <c r="H114" s="156">
        <f t="shared" si="27"/>
        <v>0</v>
      </c>
      <c r="I114" s="161">
        <f>'登録DATA'!J110</f>
        <v>0</v>
      </c>
      <c r="J114" s="155" t="b">
        <f t="shared" si="28"/>
        <v>0</v>
      </c>
      <c r="K114" s="162">
        <f>'登録DATA'!I110</f>
        <v>0</v>
      </c>
      <c r="L114" s="50"/>
      <c r="M114" s="50"/>
      <c r="N114" s="81"/>
      <c r="O114" s="83"/>
      <c r="P114" s="51">
        <f>IF(O114="","",IF(J114=1,VLOOKUP(O114,'男子種目コード'!$A$1:$B$15,2,FALSE),IF(J114=2,VLOOKUP(O114,'女子種目コード'!$A$1:$B$14,2,FALSE))))</f>
      </c>
      <c r="Q114" s="67"/>
      <c r="R114" s="184"/>
      <c r="S114" s="184"/>
      <c r="T114" s="83"/>
      <c r="U114" s="51">
        <f>IF(T114="","",IF(J114=1,VLOOKUP(T114,'男子種目コード'!$A$1:$B$15,2,FALSE),IF(J114=2,VLOOKUP(T114,'女子種目コード'!$A$1:$B$14,2,FALSE))))</f>
      </c>
      <c r="V114" s="73"/>
      <c r="W114" s="184"/>
      <c r="X114" s="184"/>
      <c r="Y114" s="75"/>
      <c r="Z114" s="21">
        <f>IF(Y114="","",IF(J114=1,VLOOKUP(Y114,'男子種目コード'!$A$1:$B$13,2,FALSE),IF(J114=2,VLOOKUP(Y114,'女子種目コード'!$A$1:$B$10,2,FALSE))))</f>
      </c>
      <c r="AA114" s="12"/>
      <c r="AB114" s="188"/>
      <c r="AC114" s="188"/>
      <c r="AD114" s="3"/>
      <c r="AE114" s="1">
        <f t="shared" si="29"/>
      </c>
      <c r="AF114" s="1">
        <f t="shared" si="30"/>
      </c>
      <c r="AG114" s="26"/>
      <c r="AH114" s="26"/>
      <c r="AI114" s="26"/>
      <c r="AJ114" s="26"/>
      <c r="AK114" s="26"/>
      <c r="AL114" s="26"/>
      <c r="AM114" s="26"/>
      <c r="AN114" s="26"/>
      <c r="AO114" s="43">
        <f t="shared" si="35"/>
        <v>0</v>
      </c>
      <c r="AP114" s="26"/>
      <c r="AQ114" s="1">
        <f t="shared" si="36"/>
        <v>0</v>
      </c>
      <c r="AR114" s="1">
        <f t="shared" si="37"/>
      </c>
      <c r="AS114" s="1">
        <f t="shared" si="38"/>
      </c>
      <c r="AT114" s="1" t="s">
        <v>132</v>
      </c>
      <c r="AU114" s="3">
        <v>2345044</v>
      </c>
      <c r="AY114" s="197"/>
      <c r="AZ114" s="197"/>
      <c r="BA114" s="197"/>
    </row>
    <row r="115" spans="1:53" ht="13.5">
      <c r="A115" s="99">
        <f t="shared" si="25"/>
        <v>0</v>
      </c>
      <c r="B115" s="97">
        <f t="shared" si="26"/>
        <v>0</v>
      </c>
      <c r="C115" s="129"/>
      <c r="D115" s="79">
        <f>'登録DATA'!E111</f>
        <v>0</v>
      </c>
      <c r="E115" s="180"/>
      <c r="F115" s="160">
        <f>'登録DATA'!G111</f>
        <v>0</v>
      </c>
      <c r="G115" s="160">
        <f>'登録DATA'!H111</f>
        <v>0</v>
      </c>
      <c r="H115" s="156">
        <f t="shared" si="27"/>
        <v>0</v>
      </c>
      <c r="I115" s="161">
        <f>'登録DATA'!J111</f>
        <v>0</v>
      </c>
      <c r="J115" s="155" t="b">
        <f t="shared" si="28"/>
        <v>0</v>
      </c>
      <c r="K115" s="162">
        <f>'登録DATA'!I111</f>
        <v>0</v>
      </c>
      <c r="L115" s="50"/>
      <c r="M115" s="50"/>
      <c r="N115" s="81"/>
      <c r="O115" s="83"/>
      <c r="P115" s="51">
        <f>IF(O115="","",IF(J115=1,VLOOKUP(O115,'男子種目コード'!$A$1:$B$15,2,FALSE),IF(J115=2,VLOOKUP(O115,'女子種目コード'!$A$1:$B$14,2,FALSE))))</f>
      </c>
      <c r="Q115" s="67"/>
      <c r="R115" s="184"/>
      <c r="S115" s="184"/>
      <c r="T115" s="83"/>
      <c r="U115" s="51">
        <f>IF(T115="","",IF(J115=1,VLOOKUP(T115,'男子種目コード'!$A$1:$B$15,2,FALSE),IF(J115=2,VLOOKUP(T115,'女子種目コード'!$A$1:$B$14,2,FALSE))))</f>
      </c>
      <c r="V115" s="73"/>
      <c r="W115" s="184"/>
      <c r="X115" s="184"/>
      <c r="Y115" s="75"/>
      <c r="Z115" s="21">
        <f>IF(Y115="","",IF(J115=1,VLOOKUP(Y115,'男子種目コード'!$A$1:$B$13,2,FALSE),IF(J115=2,VLOOKUP(Y115,'女子種目コード'!$A$1:$B$10,2,FALSE))))</f>
      </c>
      <c r="AA115" s="12"/>
      <c r="AB115" s="188"/>
      <c r="AC115" s="188"/>
      <c r="AD115" s="3"/>
      <c r="AE115" s="1">
        <f t="shared" si="29"/>
      </c>
      <c r="AF115" s="1">
        <f t="shared" si="30"/>
      </c>
      <c r="AG115" s="26"/>
      <c r="AH115" s="26"/>
      <c r="AI115" s="26"/>
      <c r="AJ115" s="26"/>
      <c r="AK115" s="26"/>
      <c r="AL115" s="26"/>
      <c r="AM115" s="26"/>
      <c r="AN115" s="26"/>
      <c r="AO115" s="43">
        <f t="shared" si="35"/>
        <v>0</v>
      </c>
      <c r="AP115" s="26"/>
      <c r="AQ115" s="1">
        <f t="shared" si="36"/>
        <v>0</v>
      </c>
      <c r="AR115" s="1">
        <f t="shared" si="37"/>
      </c>
      <c r="AS115" s="1">
        <f t="shared" si="38"/>
      </c>
      <c r="AT115" s="1" t="s">
        <v>133</v>
      </c>
      <c r="AU115" s="3">
        <v>2345045</v>
      </c>
      <c r="AY115" s="197"/>
      <c r="AZ115" s="197"/>
      <c r="BA115" s="197"/>
    </row>
    <row r="116" spans="1:53" ht="14.25" thickBot="1">
      <c r="A116" s="99">
        <f t="shared" si="25"/>
        <v>0</v>
      </c>
      <c r="B116" s="98">
        <f t="shared" si="26"/>
        <v>0</v>
      </c>
      <c r="C116" s="130"/>
      <c r="D116" s="80">
        <f>'登録DATA'!E112</f>
        <v>0</v>
      </c>
      <c r="E116" s="181"/>
      <c r="F116" s="163">
        <f>'登録DATA'!G112</f>
        <v>0</v>
      </c>
      <c r="G116" s="163">
        <f>'登録DATA'!H112</f>
        <v>0</v>
      </c>
      <c r="H116" s="157">
        <f t="shared" si="27"/>
        <v>0</v>
      </c>
      <c r="I116" s="164">
        <f>'登録DATA'!J112</f>
        <v>0</v>
      </c>
      <c r="J116" s="165" t="b">
        <f t="shared" si="28"/>
        <v>0</v>
      </c>
      <c r="K116" s="166">
        <f>'登録DATA'!I112</f>
        <v>0</v>
      </c>
      <c r="L116" s="52"/>
      <c r="M116" s="52"/>
      <c r="N116" s="56"/>
      <c r="O116" s="84"/>
      <c r="P116" s="53">
        <f>IF(O116="","",IF(J116=1,VLOOKUP(O116,'男子種目コード'!$A$1:$B$15,2,FALSE),IF(J116=2,VLOOKUP(O116,'女子種目コード'!$A$1:$B$14,2,FALSE))))</f>
      </c>
      <c r="Q116" s="68"/>
      <c r="R116" s="185"/>
      <c r="S116" s="185"/>
      <c r="T116" s="84"/>
      <c r="U116" s="53">
        <f>IF(T116="","",IF(J116=1,VLOOKUP(T116,'男子種目コード'!$A$1:$B$15,2,FALSE),IF(J116=2,VLOOKUP(T116,'女子種目コード'!$A$1:$B$14,2,FALSE))))</f>
      </c>
      <c r="V116" s="77"/>
      <c r="W116" s="185"/>
      <c r="X116" s="185"/>
      <c r="Y116" s="76"/>
      <c r="Z116" s="21">
        <f>IF(Y116="","",IF(J116=1,VLOOKUP(Y116,'男子種目コード'!$A$1:$B$13,2,FALSE),IF(J116=2,VLOOKUP(Y116,'女子種目コード'!$A$1:$B$10,2,FALSE))))</f>
      </c>
      <c r="AA116" s="12"/>
      <c r="AB116" s="188"/>
      <c r="AC116" s="188"/>
      <c r="AD116" s="3"/>
      <c r="AE116" s="1">
        <f t="shared" si="29"/>
      </c>
      <c r="AF116" s="1">
        <f t="shared" si="30"/>
      </c>
      <c r="AG116" s="26"/>
      <c r="AH116" s="26"/>
      <c r="AI116" s="26"/>
      <c r="AJ116" s="26"/>
      <c r="AK116" s="26"/>
      <c r="AL116" s="26"/>
      <c r="AM116" s="26"/>
      <c r="AN116" s="26"/>
      <c r="AO116" s="43">
        <f t="shared" si="35"/>
        <v>0</v>
      </c>
      <c r="AP116" s="26"/>
      <c r="AQ116" s="1">
        <f t="shared" si="36"/>
        <v>0</v>
      </c>
      <c r="AR116" s="1">
        <f t="shared" si="37"/>
      </c>
      <c r="AS116" s="1">
        <f t="shared" si="38"/>
      </c>
      <c r="AT116" s="1" t="s">
        <v>134</v>
      </c>
      <c r="AU116" s="3">
        <v>2345046</v>
      </c>
      <c r="AY116" s="197"/>
      <c r="AZ116" s="197"/>
      <c r="BA116" s="197"/>
    </row>
    <row r="117" spans="2:53" ht="13.5">
      <c r="B117" s="26"/>
      <c r="C117" s="26"/>
      <c r="D117" s="26"/>
      <c r="E117" s="26"/>
      <c r="F117" s="26"/>
      <c r="G117" s="29"/>
      <c r="H117" s="29"/>
      <c r="I117" s="29"/>
      <c r="J117" s="29"/>
      <c r="K117" s="29"/>
      <c r="L117" s="28"/>
      <c r="M117" s="28"/>
      <c r="N117" s="26"/>
      <c r="O117" s="45"/>
      <c r="P117" s="46"/>
      <c r="Q117" s="47"/>
      <c r="R117" s="47"/>
      <c r="S117" s="47"/>
      <c r="T117" s="45"/>
      <c r="U117" s="48"/>
      <c r="V117" s="47"/>
      <c r="W117" s="47"/>
      <c r="X117" s="47"/>
      <c r="Y117" s="70"/>
      <c r="Z117" s="48"/>
      <c r="AA117" s="47"/>
      <c r="AB117" s="47"/>
      <c r="AC117" s="47"/>
      <c r="AD117" s="3"/>
      <c r="AE117" s="26">
        <f>SUM(AE7:AE116)</f>
        <v>0</v>
      </c>
      <c r="AF117" s="26">
        <f>SUM(AF7:AF116)</f>
        <v>0</v>
      </c>
      <c r="AG117" s="26"/>
      <c r="AH117" s="26"/>
      <c r="AI117" s="26"/>
      <c r="AJ117" s="26"/>
      <c r="AK117" s="26"/>
      <c r="AL117" s="26"/>
      <c r="AM117" s="26"/>
      <c r="AN117" s="26"/>
      <c r="AO117" s="43">
        <f t="shared" si="35"/>
        <v>0</v>
      </c>
      <c r="AP117" s="26"/>
      <c r="AQ117" s="1">
        <f t="shared" si="36"/>
        <v>0</v>
      </c>
      <c r="AR117" s="1">
        <f t="shared" si="37"/>
      </c>
      <c r="AS117" s="1">
        <f t="shared" si="38"/>
      </c>
      <c r="AT117" s="1" t="s">
        <v>135</v>
      </c>
      <c r="AU117" s="3">
        <v>2345047</v>
      </c>
      <c r="AY117" s="197"/>
      <c r="AZ117" s="197"/>
      <c r="BA117" s="197"/>
    </row>
    <row r="118" spans="2:53" ht="13.5">
      <c r="B118" s="26"/>
      <c r="C118" s="26"/>
      <c r="D118" s="26"/>
      <c r="E118" s="26"/>
      <c r="F118" s="26"/>
      <c r="G118" s="29"/>
      <c r="H118" s="29"/>
      <c r="I118" s="29"/>
      <c r="J118" s="29"/>
      <c r="K118" s="29"/>
      <c r="L118" s="28"/>
      <c r="M118" s="28"/>
      <c r="N118" s="26"/>
      <c r="O118" s="45"/>
      <c r="P118" s="46"/>
      <c r="Q118" s="47"/>
      <c r="R118" s="47"/>
      <c r="S118" s="47"/>
      <c r="T118" s="45"/>
      <c r="U118" s="48"/>
      <c r="V118" s="47"/>
      <c r="W118" s="47"/>
      <c r="X118" s="47"/>
      <c r="Y118" s="70"/>
      <c r="Z118" s="48"/>
      <c r="AA118" s="47"/>
      <c r="AB118" s="47"/>
      <c r="AC118" s="47"/>
      <c r="AD118" s="3"/>
      <c r="AE118" s="26"/>
      <c r="AF118" s="26">
        <f>AE117+AF117</f>
        <v>0</v>
      </c>
      <c r="AG118" s="26"/>
      <c r="AH118" s="26"/>
      <c r="AI118" s="26"/>
      <c r="AJ118" s="26"/>
      <c r="AK118" s="26"/>
      <c r="AL118" s="26"/>
      <c r="AM118" s="26"/>
      <c r="AN118" s="26"/>
      <c r="AO118" s="43">
        <f t="shared" si="35"/>
        <v>0</v>
      </c>
      <c r="AP118" s="26"/>
      <c r="AQ118" s="1">
        <f t="shared" si="36"/>
        <v>0</v>
      </c>
      <c r="AR118" s="1">
        <f t="shared" si="37"/>
      </c>
      <c r="AS118" s="1">
        <f t="shared" si="38"/>
      </c>
      <c r="AT118" s="1" t="s">
        <v>136</v>
      </c>
      <c r="AU118" s="3">
        <v>2345048</v>
      </c>
      <c r="AY118" s="197"/>
      <c r="AZ118" s="197"/>
      <c r="BA118" s="197"/>
    </row>
    <row r="119" spans="2:53" ht="13.5">
      <c r="B119" s="26"/>
      <c r="C119" s="26"/>
      <c r="D119" s="26"/>
      <c r="E119" s="26"/>
      <c r="F119" s="26"/>
      <c r="G119" s="29"/>
      <c r="H119" s="29"/>
      <c r="I119" s="29"/>
      <c r="J119" s="29"/>
      <c r="K119" s="29"/>
      <c r="L119" s="28"/>
      <c r="M119" s="28"/>
      <c r="N119" s="26"/>
      <c r="O119" s="45"/>
      <c r="P119" s="46"/>
      <c r="Q119" s="47"/>
      <c r="R119" s="47"/>
      <c r="S119" s="47"/>
      <c r="T119" s="45"/>
      <c r="U119" s="48"/>
      <c r="V119" s="47"/>
      <c r="W119" s="47"/>
      <c r="X119" s="47"/>
      <c r="Y119" s="70"/>
      <c r="Z119" s="48"/>
      <c r="AA119" s="47"/>
      <c r="AB119" s="47"/>
      <c r="AC119" s="47"/>
      <c r="AD119" s="3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43">
        <f t="shared" si="35"/>
        <v>0</v>
      </c>
      <c r="AP119" s="26"/>
      <c r="AQ119" s="1">
        <f t="shared" si="36"/>
        <v>0</v>
      </c>
      <c r="AR119" s="1">
        <f t="shared" si="37"/>
      </c>
      <c r="AS119" s="1">
        <f t="shared" si="38"/>
      </c>
      <c r="AT119" s="1" t="s">
        <v>137</v>
      </c>
      <c r="AU119" s="3">
        <v>2345049</v>
      </c>
      <c r="AY119" s="197"/>
      <c r="AZ119" s="197"/>
      <c r="BA119" s="197"/>
    </row>
    <row r="120" spans="2:53" ht="13.5">
      <c r="B120" s="26"/>
      <c r="C120" s="26"/>
      <c r="D120" s="26"/>
      <c r="E120" s="26"/>
      <c r="F120" s="26"/>
      <c r="G120" s="29"/>
      <c r="H120" s="29"/>
      <c r="I120" s="29"/>
      <c r="J120" s="29"/>
      <c r="K120" s="29"/>
      <c r="L120" s="28"/>
      <c r="M120" s="28"/>
      <c r="N120" s="26"/>
      <c r="O120" s="45"/>
      <c r="P120" s="46"/>
      <c r="Q120" s="47"/>
      <c r="R120" s="47"/>
      <c r="S120" s="47"/>
      <c r="T120" s="45"/>
      <c r="U120" s="48"/>
      <c r="V120" s="47"/>
      <c r="W120" s="47"/>
      <c r="X120" s="47"/>
      <c r="Y120" s="70"/>
      <c r="Z120" s="48"/>
      <c r="AA120" s="47"/>
      <c r="AB120" s="47"/>
      <c r="AC120" s="47"/>
      <c r="AD120" s="3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43">
        <f t="shared" si="35"/>
        <v>0</v>
      </c>
      <c r="AP120" s="26"/>
      <c r="AQ120" s="1">
        <f t="shared" si="36"/>
        <v>0</v>
      </c>
      <c r="AR120" s="1">
        <f t="shared" si="37"/>
      </c>
      <c r="AS120" s="1">
        <f t="shared" si="38"/>
      </c>
      <c r="AT120" s="1" t="s">
        <v>138</v>
      </c>
      <c r="AU120" s="3">
        <v>2345050</v>
      </c>
      <c r="AY120" s="197"/>
      <c r="AZ120" s="197"/>
      <c r="BA120" s="197"/>
    </row>
    <row r="121" spans="2:53" ht="13.5">
      <c r="B121" s="26"/>
      <c r="C121" s="26"/>
      <c r="D121" s="26"/>
      <c r="E121" s="26"/>
      <c r="F121" s="26"/>
      <c r="G121" s="29"/>
      <c r="H121" s="29"/>
      <c r="I121" s="29"/>
      <c r="J121" s="29"/>
      <c r="K121" s="29"/>
      <c r="L121" s="28"/>
      <c r="M121" s="28"/>
      <c r="N121" s="26"/>
      <c r="O121" s="45"/>
      <c r="P121" s="46"/>
      <c r="Q121" s="47"/>
      <c r="R121" s="47"/>
      <c r="S121" s="47"/>
      <c r="T121" s="45"/>
      <c r="U121" s="48"/>
      <c r="V121" s="47"/>
      <c r="W121" s="47"/>
      <c r="X121" s="47"/>
      <c r="Y121" s="70"/>
      <c r="Z121" s="48"/>
      <c r="AA121" s="47"/>
      <c r="AB121" s="47"/>
      <c r="AC121" s="47"/>
      <c r="AD121" s="3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43">
        <f t="shared" si="35"/>
        <v>0</v>
      </c>
      <c r="AP121" s="26"/>
      <c r="AQ121" s="1">
        <f t="shared" si="36"/>
        <v>0</v>
      </c>
      <c r="AR121" s="1">
        <f t="shared" si="37"/>
      </c>
      <c r="AS121" s="1">
        <f t="shared" si="38"/>
      </c>
      <c r="AT121" s="1" t="s">
        <v>139</v>
      </c>
      <c r="AU121" s="3">
        <v>2345051</v>
      </c>
      <c r="AY121" s="197"/>
      <c r="AZ121" s="197"/>
      <c r="BA121" s="197"/>
    </row>
    <row r="122" spans="2:53" ht="13.5">
      <c r="B122" s="26"/>
      <c r="C122" s="26"/>
      <c r="D122" s="26"/>
      <c r="E122" s="26"/>
      <c r="F122" s="26"/>
      <c r="G122" s="29"/>
      <c r="H122" s="29"/>
      <c r="I122" s="29"/>
      <c r="J122" s="29"/>
      <c r="K122" s="29"/>
      <c r="L122" s="28"/>
      <c r="M122" s="28"/>
      <c r="N122" s="26"/>
      <c r="O122" s="45"/>
      <c r="P122" s="46"/>
      <c r="Q122" s="47"/>
      <c r="R122" s="47"/>
      <c r="S122" s="47"/>
      <c r="T122" s="45"/>
      <c r="U122" s="48"/>
      <c r="V122" s="47"/>
      <c r="W122" s="47"/>
      <c r="X122" s="47"/>
      <c r="Y122" s="70"/>
      <c r="Z122" s="48"/>
      <c r="AA122" s="47"/>
      <c r="AB122" s="47"/>
      <c r="AC122" s="47"/>
      <c r="AD122" s="3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43">
        <f>SUM(AO7:AO121)</f>
        <v>0</v>
      </c>
      <c r="AP122" s="26"/>
      <c r="AT122" s="1" t="s">
        <v>140</v>
      </c>
      <c r="AU122" s="3">
        <v>2345052</v>
      </c>
      <c r="AY122" s="197"/>
      <c r="AZ122" s="197"/>
      <c r="BA122" s="197"/>
    </row>
    <row r="123" spans="2:53" ht="13.5">
      <c r="B123" s="26"/>
      <c r="C123" s="26"/>
      <c r="D123" s="26"/>
      <c r="E123" s="26"/>
      <c r="F123" s="26"/>
      <c r="G123" s="29"/>
      <c r="H123" s="29"/>
      <c r="I123" s="29"/>
      <c r="J123" s="29"/>
      <c r="K123" s="29"/>
      <c r="L123" s="28"/>
      <c r="M123" s="28"/>
      <c r="N123" s="26"/>
      <c r="O123" s="45"/>
      <c r="P123" s="46"/>
      <c r="Q123" s="47"/>
      <c r="R123" s="47"/>
      <c r="S123" s="47"/>
      <c r="T123" s="45"/>
      <c r="U123" s="48"/>
      <c r="V123" s="47"/>
      <c r="W123" s="47"/>
      <c r="X123" s="47"/>
      <c r="Y123" s="70"/>
      <c r="Z123" s="48"/>
      <c r="AA123" s="47"/>
      <c r="AB123" s="47"/>
      <c r="AC123" s="47"/>
      <c r="AD123" s="3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T123" s="1" t="s">
        <v>141</v>
      </c>
      <c r="AU123" s="3">
        <v>2345053</v>
      </c>
      <c r="AY123" s="197"/>
      <c r="AZ123" s="197"/>
      <c r="BA123" s="197"/>
    </row>
    <row r="124" spans="2:53" ht="13.5">
      <c r="B124" s="26"/>
      <c r="C124" s="26"/>
      <c r="D124" s="26"/>
      <c r="E124" s="26"/>
      <c r="F124" s="26"/>
      <c r="G124" s="29"/>
      <c r="H124" s="29"/>
      <c r="I124" s="29"/>
      <c r="J124" s="29"/>
      <c r="K124" s="29"/>
      <c r="L124" s="28"/>
      <c r="M124" s="28"/>
      <c r="N124" s="26"/>
      <c r="O124" s="45"/>
      <c r="P124" s="46"/>
      <c r="Q124" s="47"/>
      <c r="R124" s="47"/>
      <c r="S124" s="47"/>
      <c r="T124" s="45"/>
      <c r="U124" s="48"/>
      <c r="V124" s="47"/>
      <c r="W124" s="47"/>
      <c r="X124" s="47"/>
      <c r="Y124" s="70"/>
      <c r="Z124" s="48"/>
      <c r="AA124" s="47"/>
      <c r="AB124" s="47"/>
      <c r="AC124" s="47"/>
      <c r="AD124" s="3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T124" s="1" t="s">
        <v>142</v>
      </c>
      <c r="AU124" s="3">
        <v>2345054</v>
      </c>
      <c r="AY124" s="197"/>
      <c r="AZ124" s="197"/>
      <c r="BA124" s="197"/>
    </row>
    <row r="125" spans="2:53" ht="13.5">
      <c r="B125" s="26"/>
      <c r="C125" s="26"/>
      <c r="D125" s="26"/>
      <c r="E125" s="26"/>
      <c r="F125" s="26"/>
      <c r="G125" s="29"/>
      <c r="H125" s="29"/>
      <c r="I125" s="29"/>
      <c r="J125" s="29"/>
      <c r="K125" s="29"/>
      <c r="L125" s="28"/>
      <c r="M125" s="28"/>
      <c r="N125" s="26"/>
      <c r="O125" s="45"/>
      <c r="P125" s="46"/>
      <c r="Q125" s="47"/>
      <c r="R125" s="47"/>
      <c r="S125" s="47"/>
      <c r="T125" s="45"/>
      <c r="U125" s="48"/>
      <c r="V125" s="47"/>
      <c r="W125" s="47"/>
      <c r="X125" s="47"/>
      <c r="Y125" s="70"/>
      <c r="Z125" s="48"/>
      <c r="AA125" s="47"/>
      <c r="AB125" s="47"/>
      <c r="AC125" s="47"/>
      <c r="AD125" s="29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T125" s="1" t="s">
        <v>143</v>
      </c>
      <c r="AU125" s="3">
        <v>2345055</v>
      </c>
      <c r="AY125" s="197"/>
      <c r="AZ125" s="197"/>
      <c r="BA125" s="197"/>
    </row>
    <row r="126" spans="2:53" ht="13.5">
      <c r="B126" s="26"/>
      <c r="C126" s="26"/>
      <c r="D126" s="26"/>
      <c r="E126" s="26"/>
      <c r="F126" s="26"/>
      <c r="G126" s="29"/>
      <c r="H126" s="29"/>
      <c r="I126" s="29"/>
      <c r="J126" s="29"/>
      <c r="K126" s="29"/>
      <c r="L126" s="28"/>
      <c r="M126" s="28"/>
      <c r="N126" s="26"/>
      <c r="O126" s="45"/>
      <c r="P126" s="46"/>
      <c r="Q126" s="47"/>
      <c r="R126" s="47"/>
      <c r="S126" s="47"/>
      <c r="T126" s="45"/>
      <c r="U126" s="48"/>
      <c r="V126" s="47"/>
      <c r="W126" s="47"/>
      <c r="X126" s="47"/>
      <c r="Y126" s="70"/>
      <c r="Z126" s="48"/>
      <c r="AA126" s="47"/>
      <c r="AB126" s="47"/>
      <c r="AC126" s="47"/>
      <c r="AD126" s="29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T126" s="1" t="s">
        <v>144</v>
      </c>
      <c r="AU126" s="3">
        <v>2345056</v>
      </c>
      <c r="AY126" s="197"/>
      <c r="AZ126" s="197"/>
      <c r="BA126" s="197"/>
    </row>
    <row r="127" spans="2:53" ht="13.5">
      <c r="B127" s="26"/>
      <c r="C127" s="26"/>
      <c r="D127" s="26"/>
      <c r="E127" s="26"/>
      <c r="F127" s="26"/>
      <c r="G127" s="29"/>
      <c r="H127" s="29"/>
      <c r="I127" s="29"/>
      <c r="J127" s="29"/>
      <c r="K127" s="29"/>
      <c r="L127" s="28"/>
      <c r="M127" s="28"/>
      <c r="N127" s="26"/>
      <c r="O127" s="45"/>
      <c r="P127" s="46"/>
      <c r="Q127" s="47"/>
      <c r="R127" s="47"/>
      <c r="S127" s="47"/>
      <c r="T127" s="45"/>
      <c r="U127" s="48"/>
      <c r="V127" s="47"/>
      <c r="W127" s="47"/>
      <c r="X127" s="47"/>
      <c r="Y127" s="70"/>
      <c r="Z127" s="48"/>
      <c r="AA127" s="47"/>
      <c r="AB127" s="47"/>
      <c r="AC127" s="47"/>
      <c r="AD127" s="29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T127" s="1" t="s">
        <v>145</v>
      </c>
      <c r="AU127" s="3">
        <v>2345057</v>
      </c>
      <c r="AY127" s="197"/>
      <c r="AZ127" s="197"/>
      <c r="BA127" s="197"/>
    </row>
    <row r="128" spans="2:53" ht="13.5">
      <c r="B128" s="26"/>
      <c r="C128" s="26"/>
      <c r="D128" s="26"/>
      <c r="E128" s="26"/>
      <c r="F128" s="26"/>
      <c r="G128" s="29"/>
      <c r="H128" s="29"/>
      <c r="I128" s="29"/>
      <c r="J128" s="29"/>
      <c r="K128" s="29"/>
      <c r="L128" s="28"/>
      <c r="M128" s="28"/>
      <c r="N128" s="26"/>
      <c r="O128" s="45"/>
      <c r="P128" s="46"/>
      <c r="Q128" s="47"/>
      <c r="R128" s="47"/>
      <c r="S128" s="47"/>
      <c r="T128" s="45"/>
      <c r="U128" s="48"/>
      <c r="V128" s="47"/>
      <c r="W128" s="47"/>
      <c r="X128" s="47"/>
      <c r="Y128" s="70"/>
      <c r="Z128" s="48"/>
      <c r="AA128" s="47"/>
      <c r="AB128" s="47"/>
      <c r="AC128" s="47"/>
      <c r="AD128" s="29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T128" s="1" t="s">
        <v>146</v>
      </c>
      <c r="AU128" s="3">
        <v>2345058</v>
      </c>
      <c r="AY128" s="197"/>
      <c r="AZ128" s="197"/>
      <c r="BA128" s="197"/>
    </row>
    <row r="129" spans="6:53" ht="13.5">
      <c r="F129" s="1"/>
      <c r="R129" s="6"/>
      <c r="S129" s="6"/>
      <c r="T129" s="7"/>
      <c r="U129" s="8"/>
      <c r="V129" s="6"/>
      <c r="X129" s="6"/>
      <c r="Y129" s="71"/>
      <c r="Z129" s="89"/>
      <c r="AA129" s="90"/>
      <c r="AB129" s="90"/>
      <c r="AC129" s="90"/>
      <c r="AD129" s="29"/>
      <c r="AE129" s="92"/>
      <c r="AF129" s="92"/>
      <c r="AG129" s="26"/>
      <c r="AH129" s="26"/>
      <c r="AI129" s="26"/>
      <c r="AJ129" s="197"/>
      <c r="AK129" s="26"/>
      <c r="AL129" s="26"/>
      <c r="AM129" s="26"/>
      <c r="AN129" s="26"/>
      <c r="AO129" s="26"/>
      <c r="AP129" s="26"/>
      <c r="AT129" s="1" t="s">
        <v>147</v>
      </c>
      <c r="AU129" s="3">
        <v>2345059</v>
      </c>
      <c r="AY129" s="197"/>
      <c r="AZ129" s="197"/>
      <c r="BA129" s="197"/>
    </row>
    <row r="130" spans="6:52" ht="13.5">
      <c r="F130" s="1"/>
      <c r="R130" s="6"/>
      <c r="S130" s="6"/>
      <c r="T130" s="7"/>
      <c r="U130" s="8"/>
      <c r="V130" s="6"/>
      <c r="X130" s="6"/>
      <c r="Y130" s="71"/>
      <c r="Z130" s="89"/>
      <c r="AA130" s="90"/>
      <c r="AB130" s="90"/>
      <c r="AC130" s="90"/>
      <c r="AD130" s="29"/>
      <c r="AE130" s="92"/>
      <c r="AF130" s="92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T130" s="1" t="s">
        <v>148</v>
      </c>
      <c r="AU130" s="3">
        <v>2345060</v>
      </c>
      <c r="AY130" s="197"/>
      <c r="AZ130" s="197"/>
    </row>
    <row r="131" spans="6:51" ht="13.5">
      <c r="F131" s="1"/>
      <c r="R131" s="6"/>
      <c r="S131" s="6"/>
      <c r="T131" s="7"/>
      <c r="U131" s="8"/>
      <c r="V131" s="6"/>
      <c r="X131" s="6"/>
      <c r="Y131" s="71"/>
      <c r="Z131" s="89"/>
      <c r="AA131" s="90"/>
      <c r="AB131" s="90"/>
      <c r="AC131" s="90"/>
      <c r="AD131" s="91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 t="s">
        <v>149</v>
      </c>
      <c r="AU131" s="91">
        <v>2345061</v>
      </c>
      <c r="AV131" s="92"/>
      <c r="AW131" s="92"/>
      <c r="AX131" s="92"/>
      <c r="AY131" s="92"/>
    </row>
    <row r="132" spans="6:51" ht="13.5">
      <c r="F132" s="1"/>
      <c r="R132" s="6"/>
      <c r="S132" s="6"/>
      <c r="T132" s="7"/>
      <c r="U132" s="8"/>
      <c r="V132" s="6"/>
      <c r="X132" s="6"/>
      <c r="Y132" s="71"/>
      <c r="Z132" s="89"/>
      <c r="AA132" s="90"/>
      <c r="AB132" s="90"/>
      <c r="AC132" s="90"/>
      <c r="AD132" s="91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 t="s">
        <v>150</v>
      </c>
      <c r="AU132" s="91">
        <v>2345062</v>
      </c>
      <c r="AV132" s="92"/>
      <c r="AW132" s="92"/>
      <c r="AX132" s="92"/>
      <c r="AY132" s="92"/>
    </row>
    <row r="133" spans="6:51" ht="13.5">
      <c r="F133" s="1"/>
      <c r="R133" s="6"/>
      <c r="S133" s="6"/>
      <c r="T133" s="7"/>
      <c r="U133" s="8"/>
      <c r="V133" s="6"/>
      <c r="X133" s="6"/>
      <c r="Y133" s="71"/>
      <c r="Z133" s="89"/>
      <c r="AA133" s="90"/>
      <c r="AB133" s="90"/>
      <c r="AC133" s="90"/>
      <c r="AD133" s="91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 t="s">
        <v>151</v>
      </c>
      <c r="AU133" s="91">
        <v>2345063</v>
      </c>
      <c r="AV133" s="92"/>
      <c r="AW133" s="92"/>
      <c r="AX133" s="92"/>
      <c r="AY133" s="92"/>
    </row>
    <row r="134" spans="6:51" ht="13.5">
      <c r="F134" s="1"/>
      <c r="R134" s="6"/>
      <c r="S134" s="6"/>
      <c r="T134" s="7"/>
      <c r="U134" s="8"/>
      <c r="V134" s="6"/>
      <c r="X134" s="6"/>
      <c r="Y134" s="71"/>
      <c r="Z134" s="89"/>
      <c r="AA134" s="90"/>
      <c r="AB134" s="90"/>
      <c r="AC134" s="90"/>
      <c r="AD134" s="91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 t="s">
        <v>152</v>
      </c>
      <c r="AU134" s="91">
        <v>2345064</v>
      </c>
      <c r="AV134" s="92"/>
      <c r="AW134" s="92"/>
      <c r="AX134" s="92"/>
      <c r="AY134" s="92"/>
    </row>
    <row r="135" spans="6:47" ht="13.5">
      <c r="F135" s="1"/>
      <c r="R135" s="6"/>
      <c r="S135" s="6"/>
      <c r="T135" s="7"/>
      <c r="U135" s="8"/>
      <c r="V135" s="6"/>
      <c r="X135" s="6"/>
      <c r="Y135" s="71"/>
      <c r="Z135" s="89"/>
      <c r="AA135" s="90"/>
      <c r="AB135" s="90"/>
      <c r="AC135" s="90"/>
      <c r="AD135" s="91"/>
      <c r="AE135" s="92"/>
      <c r="AF135" s="92"/>
      <c r="AG135" s="92"/>
      <c r="AH135" s="92"/>
      <c r="AI135" s="92"/>
      <c r="AJ135" s="92"/>
      <c r="AT135" s="1" t="s">
        <v>153</v>
      </c>
      <c r="AU135" s="3">
        <v>2345065</v>
      </c>
    </row>
    <row r="136" spans="6:47" ht="13.5">
      <c r="F136" s="1"/>
      <c r="R136" s="6"/>
      <c r="S136" s="6"/>
      <c r="T136" s="7"/>
      <c r="U136" s="8"/>
      <c r="V136" s="6"/>
      <c r="X136" s="6"/>
      <c r="Y136" s="71"/>
      <c r="Z136" s="89"/>
      <c r="AA136" s="90"/>
      <c r="AB136" s="90"/>
      <c r="AC136" s="90"/>
      <c r="AD136" s="91"/>
      <c r="AE136" s="92"/>
      <c r="AF136" s="92"/>
      <c r="AG136" s="92"/>
      <c r="AH136" s="92"/>
      <c r="AI136" s="92"/>
      <c r="AJ136" s="92"/>
      <c r="AT136" s="1" t="s">
        <v>154</v>
      </c>
      <c r="AU136" s="3">
        <v>2345066</v>
      </c>
    </row>
    <row r="137" spans="6:47" ht="13.5">
      <c r="F137" s="1"/>
      <c r="R137" s="6"/>
      <c r="S137" s="6"/>
      <c r="T137" s="7"/>
      <c r="U137" s="8"/>
      <c r="V137" s="6"/>
      <c r="X137" s="6"/>
      <c r="Y137" s="71"/>
      <c r="Z137" s="89"/>
      <c r="AA137" s="90"/>
      <c r="AB137" s="90"/>
      <c r="AC137" s="90"/>
      <c r="AD137" s="91"/>
      <c r="AE137" s="92"/>
      <c r="AF137" s="92"/>
      <c r="AG137" s="92"/>
      <c r="AH137" s="92"/>
      <c r="AI137" s="92"/>
      <c r="AJ137" s="92"/>
      <c r="AT137" s="1" t="s">
        <v>242</v>
      </c>
      <c r="AU137" s="3">
        <v>2345067</v>
      </c>
    </row>
    <row r="138" spans="6:47" ht="13.5">
      <c r="F138" s="1"/>
      <c r="R138" s="6"/>
      <c r="S138" s="6"/>
      <c r="T138" s="7"/>
      <c r="U138" s="8"/>
      <c r="V138" s="6"/>
      <c r="X138" s="6"/>
      <c r="Y138" s="71"/>
      <c r="Z138" s="89"/>
      <c r="AA138" s="90"/>
      <c r="AB138" s="90"/>
      <c r="AC138" s="90"/>
      <c r="AD138" s="91"/>
      <c r="AE138" s="92"/>
      <c r="AF138" s="92"/>
      <c r="AG138" s="92"/>
      <c r="AH138" s="92"/>
      <c r="AI138" s="92"/>
      <c r="AJ138" s="92"/>
      <c r="AT138" s="1" t="s">
        <v>155</v>
      </c>
      <c r="AU138" s="3">
        <v>2345068</v>
      </c>
    </row>
    <row r="139" spans="6:47" ht="13.5">
      <c r="F139" s="1"/>
      <c r="R139" s="6"/>
      <c r="S139" s="6"/>
      <c r="T139" s="7"/>
      <c r="U139" s="8"/>
      <c r="V139" s="6"/>
      <c r="X139" s="6"/>
      <c r="Y139" s="71"/>
      <c r="Z139" s="8"/>
      <c r="AA139" s="6"/>
      <c r="AB139" s="6"/>
      <c r="AC139" s="6"/>
      <c r="AD139" s="91"/>
      <c r="AG139" s="92"/>
      <c r="AH139" s="92"/>
      <c r="AI139" s="92"/>
      <c r="AJ139" s="92"/>
      <c r="AT139" s="1" t="s">
        <v>156</v>
      </c>
      <c r="AU139" s="3">
        <v>2345069</v>
      </c>
    </row>
    <row r="140" spans="6:47" ht="13.5">
      <c r="F140" s="1"/>
      <c r="R140" s="6"/>
      <c r="S140" s="6"/>
      <c r="T140" s="7"/>
      <c r="U140" s="8"/>
      <c r="V140" s="6"/>
      <c r="X140" s="6"/>
      <c r="Y140" s="71"/>
      <c r="Z140" s="8"/>
      <c r="AA140" s="6"/>
      <c r="AB140" s="6"/>
      <c r="AC140" s="6"/>
      <c r="AD140" s="91"/>
      <c r="AG140" s="92"/>
      <c r="AH140" s="92"/>
      <c r="AI140" s="92"/>
      <c r="AJ140" s="92"/>
      <c r="AT140" s="1" t="s">
        <v>243</v>
      </c>
      <c r="AU140" s="3">
        <v>2345070</v>
      </c>
    </row>
    <row r="141" spans="6:47" ht="13.5">
      <c r="F141" s="1"/>
      <c r="R141" s="6"/>
      <c r="S141" s="6"/>
      <c r="T141" s="7"/>
      <c r="U141" s="8"/>
      <c r="V141" s="6"/>
      <c r="X141" s="6"/>
      <c r="Y141" s="71"/>
      <c r="Z141" s="8"/>
      <c r="AA141" s="6"/>
      <c r="AB141" s="6"/>
      <c r="AC141" s="6"/>
      <c r="AD141" s="91"/>
      <c r="AG141" s="92"/>
      <c r="AH141" s="92"/>
      <c r="AI141" s="92"/>
      <c r="AJ141" s="92"/>
      <c r="AT141" s="1" t="s">
        <v>244</v>
      </c>
      <c r="AU141" s="3">
        <v>2345071</v>
      </c>
    </row>
    <row r="142" spans="6:47" ht="13.5">
      <c r="F142" s="1"/>
      <c r="R142" s="6"/>
      <c r="S142" s="6"/>
      <c r="T142" s="7"/>
      <c r="U142" s="8"/>
      <c r="V142" s="6"/>
      <c r="X142" s="6"/>
      <c r="Y142" s="71"/>
      <c r="Z142" s="8"/>
      <c r="AA142" s="6"/>
      <c r="AB142" s="6"/>
      <c r="AC142" s="6"/>
      <c r="AD142" s="91"/>
      <c r="AG142" s="92"/>
      <c r="AH142" s="92"/>
      <c r="AI142" s="92"/>
      <c r="AJ142" s="92"/>
      <c r="AT142" s="1" t="s">
        <v>157</v>
      </c>
      <c r="AU142" s="3">
        <v>2345072</v>
      </c>
    </row>
    <row r="143" spans="6:47" ht="13.5">
      <c r="F143" s="1"/>
      <c r="R143" s="6"/>
      <c r="S143" s="6"/>
      <c r="T143" s="7"/>
      <c r="U143" s="8"/>
      <c r="V143" s="6"/>
      <c r="X143" s="6"/>
      <c r="Y143" s="71"/>
      <c r="Z143" s="8"/>
      <c r="AA143" s="6"/>
      <c r="AB143" s="6"/>
      <c r="AC143" s="6"/>
      <c r="AD143" s="91"/>
      <c r="AG143" s="92"/>
      <c r="AH143" s="92"/>
      <c r="AI143" s="92"/>
      <c r="AJ143" s="92"/>
      <c r="AT143" s="1" t="s">
        <v>158</v>
      </c>
      <c r="AU143" s="3">
        <v>2345073</v>
      </c>
    </row>
    <row r="144" spans="6:47" ht="13.5">
      <c r="F144" s="1"/>
      <c r="R144" s="6"/>
      <c r="S144" s="6"/>
      <c r="T144" s="7"/>
      <c r="U144" s="8"/>
      <c r="V144" s="6"/>
      <c r="X144" s="6"/>
      <c r="Y144" s="71"/>
      <c r="Z144" s="8"/>
      <c r="AA144" s="6"/>
      <c r="AB144" s="6"/>
      <c r="AC144" s="6"/>
      <c r="AD144" s="3"/>
      <c r="AT144" s="1" t="s">
        <v>159</v>
      </c>
      <c r="AU144" s="3">
        <v>2345074</v>
      </c>
    </row>
    <row r="145" spans="6:47" ht="13.5">
      <c r="F145" s="1"/>
      <c r="R145" s="6"/>
      <c r="S145" s="6"/>
      <c r="T145" s="7"/>
      <c r="U145" s="8"/>
      <c r="V145" s="6"/>
      <c r="X145" s="6"/>
      <c r="Y145" s="71"/>
      <c r="Z145" s="8"/>
      <c r="AA145" s="6"/>
      <c r="AB145" s="6"/>
      <c r="AC145" s="6"/>
      <c r="AD145" s="3"/>
      <c r="AT145" s="1" t="s">
        <v>160</v>
      </c>
      <c r="AU145" s="3">
        <v>2345075</v>
      </c>
    </row>
    <row r="146" spans="6:47" ht="13.5">
      <c r="F146" s="1"/>
      <c r="R146" s="6"/>
      <c r="S146" s="6"/>
      <c r="T146" s="7"/>
      <c r="U146" s="8"/>
      <c r="V146" s="6"/>
      <c r="X146" s="6"/>
      <c r="Y146" s="71"/>
      <c r="Z146" s="8"/>
      <c r="AA146" s="6"/>
      <c r="AB146" s="6"/>
      <c r="AC146" s="6"/>
      <c r="AD146" s="3"/>
      <c r="AT146" s="1" t="s">
        <v>161</v>
      </c>
      <c r="AU146" s="3">
        <v>2345076</v>
      </c>
    </row>
    <row r="147" spans="6:47" ht="13.5">
      <c r="F147" s="1"/>
      <c r="R147" s="6"/>
      <c r="S147" s="6"/>
      <c r="T147" s="7"/>
      <c r="U147" s="8"/>
      <c r="V147" s="6"/>
      <c r="X147" s="6"/>
      <c r="Y147" s="71"/>
      <c r="Z147" s="8"/>
      <c r="AA147" s="6"/>
      <c r="AB147" s="6"/>
      <c r="AC147" s="6"/>
      <c r="AD147" s="3"/>
      <c r="AT147" s="1" t="s">
        <v>162</v>
      </c>
      <c r="AU147" s="3">
        <v>2345077</v>
      </c>
    </row>
    <row r="148" spans="6:47" ht="13.5">
      <c r="F148" s="1"/>
      <c r="R148" s="6"/>
      <c r="S148" s="6"/>
      <c r="T148" s="7"/>
      <c r="U148" s="8"/>
      <c r="V148" s="6"/>
      <c r="X148" s="6"/>
      <c r="Y148" s="71"/>
      <c r="Z148" s="8"/>
      <c r="AA148" s="6"/>
      <c r="AB148" s="6"/>
      <c r="AC148" s="6"/>
      <c r="AD148" s="3"/>
      <c r="AT148" s="1" t="s">
        <v>163</v>
      </c>
      <c r="AU148" s="3">
        <v>2345078</v>
      </c>
    </row>
    <row r="149" spans="6:47" ht="13.5">
      <c r="F149" s="1"/>
      <c r="R149" s="6"/>
      <c r="S149" s="6"/>
      <c r="T149" s="7"/>
      <c r="U149" s="8"/>
      <c r="V149" s="6"/>
      <c r="X149" s="6"/>
      <c r="Y149" s="71"/>
      <c r="Z149" s="8"/>
      <c r="AA149" s="6"/>
      <c r="AB149" s="6"/>
      <c r="AC149" s="6"/>
      <c r="AD149" s="3"/>
      <c r="AT149" s="1" t="s">
        <v>164</v>
      </c>
      <c r="AU149" s="3">
        <v>2345079</v>
      </c>
    </row>
    <row r="150" spans="6:47" ht="13.5">
      <c r="F150" s="1"/>
      <c r="R150" s="6"/>
      <c r="S150" s="6"/>
      <c r="T150" s="7"/>
      <c r="U150" s="8"/>
      <c r="V150" s="6"/>
      <c r="X150" s="6"/>
      <c r="Y150" s="71"/>
      <c r="Z150" s="8"/>
      <c r="AA150" s="6"/>
      <c r="AB150" s="6"/>
      <c r="AC150" s="6"/>
      <c r="AD150" s="3"/>
      <c r="AT150" s="1" t="s">
        <v>165</v>
      </c>
      <c r="AU150" s="3">
        <v>2345080</v>
      </c>
    </row>
    <row r="151" spans="6:47" ht="13.5">
      <c r="F151" s="1"/>
      <c r="R151" s="6"/>
      <c r="S151" s="6"/>
      <c r="T151" s="7"/>
      <c r="U151" s="8"/>
      <c r="V151" s="6"/>
      <c r="X151" s="6"/>
      <c r="Y151" s="71"/>
      <c r="Z151" s="8"/>
      <c r="AA151" s="6"/>
      <c r="AB151" s="6"/>
      <c r="AC151" s="6"/>
      <c r="AD151" s="3"/>
      <c r="AT151" s="1" t="s">
        <v>166</v>
      </c>
      <c r="AU151" s="3">
        <v>2345081</v>
      </c>
    </row>
    <row r="152" spans="6:47" ht="13.5">
      <c r="F152" s="1"/>
      <c r="R152" s="6"/>
      <c r="S152" s="6"/>
      <c r="T152" s="7"/>
      <c r="U152" s="8"/>
      <c r="V152" s="6"/>
      <c r="X152" s="6"/>
      <c r="Y152" s="71"/>
      <c r="Z152" s="8"/>
      <c r="AA152" s="6"/>
      <c r="AB152" s="6"/>
      <c r="AC152" s="6"/>
      <c r="AD152" s="3"/>
      <c r="AT152" s="1" t="s">
        <v>167</v>
      </c>
      <c r="AU152" s="3">
        <v>2345082</v>
      </c>
    </row>
    <row r="153" spans="6:47" ht="13.5">
      <c r="F153" s="1"/>
      <c r="R153" s="6"/>
      <c r="S153" s="6"/>
      <c r="T153" s="7"/>
      <c r="U153" s="8"/>
      <c r="V153" s="6"/>
      <c r="X153" s="6"/>
      <c r="Y153" s="71"/>
      <c r="Z153" s="8"/>
      <c r="AA153" s="6"/>
      <c r="AB153" s="6"/>
      <c r="AC153" s="6"/>
      <c r="AD153" s="3"/>
      <c r="AT153" s="1" t="s">
        <v>168</v>
      </c>
      <c r="AU153" s="3">
        <v>2345084</v>
      </c>
    </row>
    <row r="154" spans="6:47" ht="13.5">
      <c r="F154" s="1"/>
      <c r="R154" s="6"/>
      <c r="S154" s="6"/>
      <c r="T154" s="7"/>
      <c r="U154" s="8"/>
      <c r="V154" s="6"/>
      <c r="X154" s="6"/>
      <c r="Y154" s="71"/>
      <c r="Z154" s="8"/>
      <c r="AA154" s="6"/>
      <c r="AB154" s="6"/>
      <c r="AC154" s="6"/>
      <c r="AD154" s="3"/>
      <c r="AT154" s="1" t="s">
        <v>206</v>
      </c>
      <c r="AU154" s="3">
        <v>2345146</v>
      </c>
    </row>
    <row r="155" spans="6:47" ht="13.5">
      <c r="F155" s="1"/>
      <c r="R155" s="6"/>
      <c r="S155" s="6"/>
      <c r="T155" s="7"/>
      <c r="U155" s="8"/>
      <c r="V155" s="6"/>
      <c r="X155" s="6"/>
      <c r="Y155" s="71"/>
      <c r="Z155" s="8"/>
      <c r="AA155" s="6"/>
      <c r="AB155" s="6"/>
      <c r="AC155" s="6"/>
      <c r="AD155" s="3"/>
      <c r="AT155" s="1" t="s">
        <v>207</v>
      </c>
      <c r="AU155" s="3">
        <v>2345147</v>
      </c>
    </row>
    <row r="156" spans="6:47" ht="13.5">
      <c r="F156" s="1"/>
      <c r="R156" s="6"/>
      <c r="S156" s="6"/>
      <c r="T156" s="7"/>
      <c r="U156" s="8"/>
      <c r="V156" s="6"/>
      <c r="X156" s="6"/>
      <c r="Y156" s="71"/>
      <c r="Z156" s="8"/>
      <c r="AA156" s="6"/>
      <c r="AB156" s="6"/>
      <c r="AC156" s="6"/>
      <c r="AD156" s="3"/>
      <c r="AT156" s="1" t="s">
        <v>208</v>
      </c>
      <c r="AU156" s="3">
        <v>2345148</v>
      </c>
    </row>
    <row r="157" spans="6:47" ht="13.5">
      <c r="F157" s="1"/>
      <c r="R157" s="6"/>
      <c r="S157" s="6"/>
      <c r="T157" s="7"/>
      <c r="U157" s="8"/>
      <c r="V157" s="6"/>
      <c r="X157" s="6"/>
      <c r="Y157" s="71"/>
      <c r="Z157" s="8"/>
      <c r="AA157" s="6"/>
      <c r="AB157" s="6"/>
      <c r="AC157" s="6"/>
      <c r="AD157" s="3"/>
      <c r="AT157" s="1" t="s">
        <v>209</v>
      </c>
      <c r="AU157" s="3">
        <v>2345149</v>
      </c>
    </row>
    <row r="158" spans="6:47" ht="13.5">
      <c r="F158" s="1"/>
      <c r="R158" s="6"/>
      <c r="S158" s="6"/>
      <c r="T158" s="7"/>
      <c r="U158" s="8"/>
      <c r="V158" s="6"/>
      <c r="X158" s="6"/>
      <c r="Y158" s="71"/>
      <c r="Z158" s="8"/>
      <c r="AA158" s="6"/>
      <c r="AB158" s="6"/>
      <c r="AC158" s="6"/>
      <c r="AD158" s="3"/>
      <c r="AT158" s="1" t="s">
        <v>210</v>
      </c>
      <c r="AU158" s="3">
        <v>2345150</v>
      </c>
    </row>
    <row r="159" spans="6:47" ht="13.5">
      <c r="F159" s="1"/>
      <c r="R159" s="6"/>
      <c r="S159" s="6"/>
      <c r="T159" s="7"/>
      <c r="U159" s="8"/>
      <c r="V159" s="6"/>
      <c r="X159" s="6"/>
      <c r="Y159" s="71"/>
      <c r="Z159" s="8"/>
      <c r="AA159" s="6"/>
      <c r="AB159" s="6"/>
      <c r="AC159" s="6"/>
      <c r="AD159" s="3"/>
      <c r="AT159" s="1" t="s">
        <v>211</v>
      </c>
      <c r="AU159" s="3">
        <v>2345151</v>
      </c>
    </row>
    <row r="160" spans="6:47" ht="13.5">
      <c r="F160" s="1"/>
      <c r="R160" s="6"/>
      <c r="S160" s="6"/>
      <c r="T160" s="7"/>
      <c r="U160" s="8"/>
      <c r="V160" s="6"/>
      <c r="X160" s="6"/>
      <c r="Y160" s="71"/>
      <c r="Z160" s="8"/>
      <c r="AA160" s="6"/>
      <c r="AB160" s="6"/>
      <c r="AC160" s="6"/>
      <c r="AD160" s="3"/>
      <c r="AT160" s="1" t="s">
        <v>212</v>
      </c>
      <c r="AU160" s="3">
        <v>2345152</v>
      </c>
    </row>
    <row r="161" spans="6:47" ht="13.5">
      <c r="F161" s="1"/>
      <c r="R161" s="6"/>
      <c r="S161" s="6"/>
      <c r="T161" s="7"/>
      <c r="U161" s="8"/>
      <c r="V161" s="6"/>
      <c r="X161" s="6"/>
      <c r="Y161" s="71"/>
      <c r="Z161" s="8"/>
      <c r="AA161" s="6"/>
      <c r="AB161" s="6"/>
      <c r="AC161" s="6"/>
      <c r="AD161" s="3"/>
      <c r="AT161" s="1" t="s">
        <v>249</v>
      </c>
      <c r="AU161" s="3">
        <v>2345153</v>
      </c>
    </row>
    <row r="162" spans="6:47" ht="13.5">
      <c r="F162" s="1"/>
      <c r="R162" s="6"/>
      <c r="S162" s="6"/>
      <c r="T162" s="7"/>
      <c r="U162" s="8"/>
      <c r="V162" s="6"/>
      <c r="X162" s="6"/>
      <c r="Y162" s="71"/>
      <c r="Z162" s="8"/>
      <c r="AA162" s="6"/>
      <c r="AB162" s="6"/>
      <c r="AC162" s="6"/>
      <c r="AD162" s="3"/>
      <c r="AT162" s="1" t="s">
        <v>213</v>
      </c>
      <c r="AU162" s="3">
        <v>2345154</v>
      </c>
    </row>
    <row r="163" spans="6:47" ht="13.5">
      <c r="F163" s="1"/>
      <c r="R163" s="6"/>
      <c r="S163" s="6"/>
      <c r="T163" s="7"/>
      <c r="U163" s="8"/>
      <c r="V163" s="6"/>
      <c r="X163" s="6"/>
      <c r="Y163" s="71"/>
      <c r="Z163" s="8"/>
      <c r="AA163" s="6"/>
      <c r="AB163" s="6"/>
      <c r="AC163" s="6"/>
      <c r="AD163" s="3"/>
      <c r="AT163" s="1" t="s">
        <v>214</v>
      </c>
      <c r="AU163" s="3">
        <v>2345155</v>
      </c>
    </row>
    <row r="164" spans="6:47" ht="13.5">
      <c r="F164" s="1"/>
      <c r="R164" s="6"/>
      <c r="S164" s="6"/>
      <c r="T164" s="7"/>
      <c r="U164" s="8"/>
      <c r="V164" s="6"/>
      <c r="X164" s="6"/>
      <c r="Y164" s="71"/>
      <c r="Z164" s="8"/>
      <c r="AA164" s="6"/>
      <c r="AB164" s="6"/>
      <c r="AC164" s="6"/>
      <c r="AD164" s="3"/>
      <c r="AT164" s="1" t="s">
        <v>215</v>
      </c>
      <c r="AU164" s="3">
        <v>2345156</v>
      </c>
    </row>
    <row r="165" spans="6:47" ht="13.5">
      <c r="F165" s="1"/>
      <c r="R165" s="6"/>
      <c r="S165" s="6"/>
      <c r="T165" s="7"/>
      <c r="U165" s="8"/>
      <c r="V165" s="6"/>
      <c r="X165" s="6"/>
      <c r="Y165" s="71"/>
      <c r="Z165" s="8"/>
      <c r="AA165" s="6"/>
      <c r="AB165" s="6"/>
      <c r="AC165" s="6"/>
      <c r="AD165" s="3"/>
      <c r="AT165" s="1" t="s">
        <v>216</v>
      </c>
      <c r="AU165" s="3">
        <v>2345157</v>
      </c>
    </row>
    <row r="166" spans="6:47" ht="13.5">
      <c r="F166" s="1"/>
      <c r="R166" s="6"/>
      <c r="S166" s="6"/>
      <c r="T166" s="7"/>
      <c r="U166" s="8"/>
      <c r="V166" s="6"/>
      <c r="X166" s="6"/>
      <c r="Y166" s="71"/>
      <c r="Z166" s="8"/>
      <c r="AA166" s="6"/>
      <c r="AB166" s="6"/>
      <c r="AC166" s="6"/>
      <c r="AD166" s="3"/>
      <c r="AT166" s="1" t="s">
        <v>217</v>
      </c>
      <c r="AU166" s="3">
        <v>2345158</v>
      </c>
    </row>
    <row r="167" spans="6:47" ht="13.5">
      <c r="F167" s="1"/>
      <c r="R167" s="6"/>
      <c r="S167" s="6"/>
      <c r="T167" s="7"/>
      <c r="U167" s="8"/>
      <c r="V167" s="6"/>
      <c r="X167" s="6"/>
      <c r="Y167" s="71"/>
      <c r="Z167" s="8"/>
      <c r="AA167" s="6"/>
      <c r="AB167" s="6"/>
      <c r="AC167" s="6"/>
      <c r="AD167" s="3"/>
      <c r="AT167" s="1" t="s">
        <v>218</v>
      </c>
      <c r="AU167" s="3">
        <v>2345159</v>
      </c>
    </row>
    <row r="168" spans="6:47" ht="13.5">
      <c r="F168" s="1"/>
      <c r="R168" s="6"/>
      <c r="S168" s="6"/>
      <c r="T168" s="7"/>
      <c r="U168" s="8"/>
      <c r="V168" s="6"/>
      <c r="X168" s="6"/>
      <c r="Y168" s="71"/>
      <c r="Z168" s="8"/>
      <c r="AA168" s="6"/>
      <c r="AB168" s="6"/>
      <c r="AC168" s="6"/>
      <c r="AD168" s="3"/>
      <c r="AT168" s="1" t="s">
        <v>219</v>
      </c>
      <c r="AU168" s="3">
        <v>2345160</v>
      </c>
    </row>
    <row r="169" spans="6:47" ht="13.5">
      <c r="F169" s="1"/>
      <c r="R169" s="6"/>
      <c r="S169" s="6"/>
      <c r="T169" s="7"/>
      <c r="U169" s="8"/>
      <c r="V169" s="6"/>
      <c r="X169" s="6"/>
      <c r="Y169" s="71"/>
      <c r="Z169" s="8"/>
      <c r="AA169" s="6"/>
      <c r="AB169" s="6"/>
      <c r="AC169" s="6"/>
      <c r="AD169" s="3"/>
      <c r="AT169" s="1" t="s">
        <v>220</v>
      </c>
      <c r="AU169" s="3">
        <v>2345161</v>
      </c>
    </row>
    <row r="170" spans="6:47" ht="13.5">
      <c r="F170" s="1"/>
      <c r="R170" s="6"/>
      <c r="S170" s="6"/>
      <c r="T170" s="7"/>
      <c r="U170" s="8"/>
      <c r="V170" s="6"/>
      <c r="X170" s="6"/>
      <c r="Y170" s="71"/>
      <c r="Z170" s="8"/>
      <c r="AA170" s="6"/>
      <c r="AB170" s="6"/>
      <c r="AC170" s="6"/>
      <c r="AD170" s="3"/>
      <c r="AT170" s="1" t="s">
        <v>221</v>
      </c>
      <c r="AU170" s="3">
        <v>2345162</v>
      </c>
    </row>
    <row r="171" spans="6:47" ht="13.5">
      <c r="F171" s="1"/>
      <c r="R171" s="6"/>
      <c r="S171" s="6"/>
      <c r="T171" s="7"/>
      <c r="U171" s="8"/>
      <c r="V171" s="6"/>
      <c r="X171" s="6"/>
      <c r="Y171" s="71"/>
      <c r="Z171" s="8"/>
      <c r="AA171" s="6"/>
      <c r="AB171" s="6"/>
      <c r="AC171" s="6"/>
      <c r="AD171" s="3"/>
      <c r="AT171" s="1" t="s">
        <v>222</v>
      </c>
      <c r="AU171" s="3">
        <v>2345163</v>
      </c>
    </row>
    <row r="172" spans="6:47" ht="13.5">
      <c r="F172" s="1"/>
      <c r="R172" s="6"/>
      <c r="S172" s="6"/>
      <c r="T172" s="7"/>
      <c r="U172" s="8"/>
      <c r="V172" s="6"/>
      <c r="X172" s="6"/>
      <c r="Y172" s="71"/>
      <c r="Z172" s="8"/>
      <c r="AA172" s="6"/>
      <c r="AB172" s="6"/>
      <c r="AC172" s="6"/>
      <c r="AD172" s="3"/>
      <c r="AT172" s="1" t="s">
        <v>223</v>
      </c>
      <c r="AU172" s="3">
        <v>2345164</v>
      </c>
    </row>
    <row r="173" spans="6:47" ht="13.5">
      <c r="F173" s="1"/>
      <c r="R173" s="6"/>
      <c r="S173" s="6"/>
      <c r="T173" s="7"/>
      <c r="U173" s="8"/>
      <c r="V173" s="6"/>
      <c r="X173" s="6"/>
      <c r="Y173" s="71"/>
      <c r="Z173" s="8"/>
      <c r="AA173" s="6"/>
      <c r="AB173" s="6"/>
      <c r="AC173" s="6"/>
      <c r="AD173" s="3"/>
      <c r="AT173" s="1" t="s">
        <v>224</v>
      </c>
      <c r="AU173" s="3">
        <v>2345165</v>
      </c>
    </row>
    <row r="174" spans="6:47" ht="13.5">
      <c r="F174" s="1"/>
      <c r="R174" s="6"/>
      <c r="S174" s="6"/>
      <c r="T174" s="7"/>
      <c r="U174" s="8"/>
      <c r="V174" s="6"/>
      <c r="X174" s="6"/>
      <c r="Y174" s="71"/>
      <c r="Z174" s="8"/>
      <c r="AA174" s="6"/>
      <c r="AB174" s="6"/>
      <c r="AC174" s="6"/>
      <c r="AD174" s="3"/>
      <c r="AT174" s="1" t="s">
        <v>225</v>
      </c>
      <c r="AU174" s="3">
        <v>2345166</v>
      </c>
    </row>
    <row r="175" spans="6:47" ht="13.5">
      <c r="F175" s="1"/>
      <c r="R175" s="6"/>
      <c r="S175" s="6"/>
      <c r="T175" s="7"/>
      <c r="U175" s="8"/>
      <c r="V175" s="6"/>
      <c r="X175" s="6"/>
      <c r="Y175" s="71"/>
      <c r="Z175" s="8"/>
      <c r="AA175" s="6"/>
      <c r="AB175" s="6"/>
      <c r="AC175" s="6"/>
      <c r="AD175" s="3"/>
      <c r="AT175" s="1" t="s">
        <v>226</v>
      </c>
      <c r="AU175" s="3">
        <v>2345167</v>
      </c>
    </row>
    <row r="176" spans="6:47" ht="13.5">
      <c r="F176" s="1"/>
      <c r="R176" s="6"/>
      <c r="S176" s="6"/>
      <c r="T176" s="7"/>
      <c r="U176" s="8"/>
      <c r="V176" s="6"/>
      <c r="X176" s="6"/>
      <c r="Y176" s="71"/>
      <c r="Z176" s="8"/>
      <c r="AA176" s="6"/>
      <c r="AB176" s="6"/>
      <c r="AC176" s="6"/>
      <c r="AD176" s="3"/>
      <c r="AT176" s="1" t="s">
        <v>227</v>
      </c>
      <c r="AU176" s="3">
        <v>2345168</v>
      </c>
    </row>
    <row r="177" spans="6:47" ht="13.5">
      <c r="F177" s="1"/>
      <c r="R177" s="6"/>
      <c r="S177" s="6"/>
      <c r="T177" s="7"/>
      <c r="U177" s="8"/>
      <c r="V177" s="6"/>
      <c r="X177" s="6"/>
      <c r="Y177" s="71"/>
      <c r="Z177" s="8"/>
      <c r="AA177" s="6"/>
      <c r="AB177" s="6"/>
      <c r="AC177" s="6"/>
      <c r="AD177" s="3"/>
      <c r="AT177" s="1" t="s">
        <v>228</v>
      </c>
      <c r="AU177" s="3">
        <v>2345169</v>
      </c>
    </row>
    <row r="178" spans="6:47" ht="13.5">
      <c r="F178" s="1"/>
      <c r="R178" s="6"/>
      <c r="S178" s="7"/>
      <c r="T178" s="8"/>
      <c r="U178" s="6"/>
      <c r="V178" s="71"/>
      <c r="W178" s="71"/>
      <c r="X178" s="71"/>
      <c r="Y178" s="8"/>
      <c r="Z178" s="6"/>
      <c r="AA178" s="3"/>
      <c r="AB178" s="3"/>
      <c r="AC178" s="3"/>
      <c r="AD178" s="3"/>
      <c r="AT178" s="1" t="s">
        <v>229</v>
      </c>
      <c r="AU178" s="3">
        <v>2345170</v>
      </c>
    </row>
    <row r="179" spans="6:54" ht="13.5">
      <c r="F179" s="1"/>
      <c r="R179" s="6"/>
      <c r="S179" s="7"/>
      <c r="T179" s="8"/>
      <c r="U179" s="6"/>
      <c r="V179" s="71"/>
      <c r="W179" s="71"/>
      <c r="X179" s="71"/>
      <c r="Y179" s="8"/>
      <c r="Z179" s="6"/>
      <c r="AA179" s="3"/>
      <c r="AB179" s="3"/>
      <c r="AC179" s="3"/>
      <c r="AD179" s="3"/>
      <c r="AT179" s="1" t="s">
        <v>230</v>
      </c>
      <c r="AU179" s="3">
        <v>2345171</v>
      </c>
      <c r="BB179" s="1">
        <f>MID(AU180,2,5)</f>
      </c>
    </row>
    <row r="180" spans="6:54" ht="13.5">
      <c r="F180" s="1"/>
      <c r="W180" s="8"/>
      <c r="X180" s="6"/>
      <c r="Y180" s="3"/>
      <c r="AS180" s="1" t="s">
        <v>231</v>
      </c>
      <c r="BB180" s="1">
        <f>MID(AU181,2,5)</f>
      </c>
    </row>
    <row r="181" spans="6:54" ht="13.5">
      <c r="F181" s="1"/>
      <c r="W181" s="8"/>
      <c r="X181" s="6"/>
      <c r="Y181" s="3"/>
      <c r="AS181" s="1" t="s">
        <v>232</v>
      </c>
      <c r="BB181" s="1">
        <f>MID(AU182,2,5)</f>
      </c>
    </row>
    <row r="182" spans="6:44" ht="13.5">
      <c r="F182" s="1"/>
      <c r="L182" s="3"/>
      <c r="N182" s="2"/>
      <c r="O182" s="1"/>
      <c r="P182" s="7"/>
      <c r="Q182" s="19"/>
      <c r="R182" s="6"/>
      <c r="S182" s="7"/>
      <c r="T182" s="8"/>
      <c r="U182" s="6"/>
      <c r="V182" s="71"/>
      <c r="W182" s="8"/>
      <c r="X182" s="6"/>
      <c r="Y182" s="3"/>
      <c r="AQ182" s="1" t="s">
        <v>233</v>
      </c>
      <c r="AR182" s="1">
        <v>245174</v>
      </c>
    </row>
    <row r="183" spans="6:44" ht="13.5">
      <c r="F183" s="1"/>
      <c r="L183" s="3"/>
      <c r="N183" s="2"/>
      <c r="O183" s="1"/>
      <c r="P183" s="7"/>
      <c r="Q183" s="19"/>
      <c r="R183" s="6"/>
      <c r="S183" s="7"/>
      <c r="T183" s="8"/>
      <c r="U183" s="6"/>
      <c r="V183" s="71"/>
      <c r="W183" s="8"/>
      <c r="X183" s="6"/>
      <c r="Y183" s="3"/>
      <c r="AQ183" s="1" t="s">
        <v>234</v>
      </c>
      <c r="AR183" s="1">
        <v>245175</v>
      </c>
    </row>
    <row r="184" spans="6:43" ht="13.5">
      <c r="F184" s="1"/>
      <c r="L184" s="3"/>
      <c r="N184" s="2"/>
      <c r="O184" s="1"/>
      <c r="P184" s="7"/>
      <c r="Q184" s="19"/>
      <c r="R184" s="6"/>
      <c r="S184" s="7"/>
      <c r="T184" s="8"/>
      <c r="U184" s="6"/>
      <c r="V184" s="71"/>
      <c r="W184" s="8"/>
      <c r="X184" s="6"/>
      <c r="Y184" s="3"/>
      <c r="AP184" s="1" t="s">
        <v>235</v>
      </c>
      <c r="AQ184" s="1">
        <v>245176</v>
      </c>
    </row>
    <row r="185" spans="6:43" ht="13.5">
      <c r="F185" s="1"/>
      <c r="L185" s="3"/>
      <c r="N185" s="2"/>
      <c r="O185" s="1"/>
      <c r="P185" s="7"/>
      <c r="Q185" s="19"/>
      <c r="R185" s="6"/>
      <c r="S185" s="7"/>
      <c r="T185" s="8"/>
      <c r="U185" s="6"/>
      <c r="V185" s="71"/>
      <c r="W185" s="8"/>
      <c r="X185" s="6"/>
      <c r="Y185" s="3"/>
      <c r="AP185" s="1" t="s">
        <v>236</v>
      </c>
      <c r="AQ185" s="1">
        <v>245177</v>
      </c>
    </row>
    <row r="186" spans="6:42" ht="13.5">
      <c r="F186" s="1"/>
      <c r="L186" s="3"/>
      <c r="N186" s="2"/>
      <c r="O186" s="1"/>
      <c r="P186" s="7"/>
      <c r="Q186" s="19"/>
      <c r="R186" s="6"/>
      <c r="S186" s="7"/>
      <c r="T186" s="8"/>
      <c r="U186" s="6"/>
      <c r="V186" s="71"/>
      <c r="W186" s="8"/>
      <c r="X186" s="6"/>
      <c r="Y186" s="3"/>
      <c r="AO186" s="1" t="s">
        <v>237</v>
      </c>
      <c r="AP186" s="1">
        <v>245178</v>
      </c>
    </row>
    <row r="187" spans="41:42" ht="13.5">
      <c r="AO187" s="1" t="s">
        <v>238</v>
      </c>
      <c r="AP187" s="1">
        <v>245179</v>
      </c>
    </row>
    <row r="188" spans="41:42" ht="13.5">
      <c r="AO188" s="1" t="s">
        <v>239</v>
      </c>
      <c r="AP188" s="1">
        <v>245180</v>
      </c>
    </row>
    <row r="189" spans="40:41" ht="13.5">
      <c r="AN189" s="1" t="s">
        <v>240</v>
      </c>
      <c r="AO189" s="1">
        <v>245181</v>
      </c>
    </row>
  </sheetData>
  <sheetProtection sheet="1"/>
  <mergeCells count="66">
    <mergeCell ref="AG1:AG3"/>
    <mergeCell ref="U1:U4"/>
    <mergeCell ref="AA1:AA3"/>
    <mergeCell ref="AG65:AH65"/>
    <mergeCell ref="AG66:AH66"/>
    <mergeCell ref="AG71:AH71"/>
    <mergeCell ref="AG67:AH67"/>
    <mergeCell ref="AG68:AH68"/>
    <mergeCell ref="AG69:AH69"/>
    <mergeCell ref="AG70:AH70"/>
    <mergeCell ref="AI60:AJ60"/>
    <mergeCell ref="AG61:AH61"/>
    <mergeCell ref="AI61:AJ61"/>
    <mergeCell ref="AG62:AH62"/>
    <mergeCell ref="AI62:AJ62"/>
    <mergeCell ref="AG63:AH63"/>
    <mergeCell ref="AI63:AJ63"/>
    <mergeCell ref="AG53:AH53"/>
    <mergeCell ref="AG54:AH54"/>
    <mergeCell ref="AG55:AH55"/>
    <mergeCell ref="AG56:AH56"/>
    <mergeCell ref="AG64:AH64"/>
    <mergeCell ref="AI64:AJ64"/>
    <mergeCell ref="AI58:AJ58"/>
    <mergeCell ref="AG59:AH59"/>
    <mergeCell ref="AI59:AJ59"/>
    <mergeCell ref="AG60:AH60"/>
    <mergeCell ref="AG57:AH57"/>
    <mergeCell ref="AG58:AH58"/>
    <mergeCell ref="AG44:AH44"/>
    <mergeCell ref="AI44:AJ44"/>
    <mergeCell ref="AG51:AH51"/>
    <mergeCell ref="AG52:AH52"/>
    <mergeCell ref="AG49:AH49"/>
    <mergeCell ref="AG50:AH50"/>
    <mergeCell ref="AI45:AJ45"/>
    <mergeCell ref="AI46:AJ46"/>
    <mergeCell ref="AG6:AJ6"/>
    <mergeCell ref="AG8:AI8"/>
    <mergeCell ref="AH9:AI9"/>
    <mergeCell ref="AG7:AI7"/>
    <mergeCell ref="AG17:AH17"/>
    <mergeCell ref="AG18:AH18"/>
    <mergeCell ref="AH14:AI14"/>
    <mergeCell ref="AH15:AI15"/>
    <mergeCell ref="AG13:AI13"/>
    <mergeCell ref="AH10:AI10"/>
    <mergeCell ref="AI50:AJ50"/>
    <mergeCell ref="AG45:AH45"/>
    <mergeCell ref="AG46:AH46"/>
    <mergeCell ref="AG47:AH47"/>
    <mergeCell ref="AG48:AH48"/>
    <mergeCell ref="AI47:AJ47"/>
    <mergeCell ref="AI48:AJ48"/>
    <mergeCell ref="AI26:AM26"/>
    <mergeCell ref="AG32:AH32"/>
    <mergeCell ref="AI25:AM25"/>
    <mergeCell ref="AH16:AI16"/>
    <mergeCell ref="AI49:AJ49"/>
    <mergeCell ref="AI19:AM19"/>
    <mergeCell ref="AH11:AI11"/>
    <mergeCell ref="AI23:AM23"/>
    <mergeCell ref="AG12:AI12"/>
    <mergeCell ref="AI22:AM22"/>
    <mergeCell ref="AI20:AM21"/>
    <mergeCell ref="AI24:AM24"/>
  </mergeCells>
  <conditionalFormatting sqref="F7:F116">
    <cfRule type="expression" priority="1" dxfId="5" stopIfTrue="1">
      <formula>J7=2</formula>
    </cfRule>
  </conditionalFormatting>
  <conditionalFormatting sqref="G7:G116">
    <cfRule type="expression" priority="2" dxfId="5" stopIfTrue="1">
      <formula>J7=2</formula>
    </cfRule>
  </conditionalFormatting>
  <conditionalFormatting sqref="Q7:R116">
    <cfRule type="expression" priority="7" dxfId="0" stopIfTrue="1">
      <formula>J7=""</formula>
    </cfRule>
  </conditionalFormatting>
  <conditionalFormatting sqref="V7:W116">
    <cfRule type="expression" priority="8" dxfId="0" stopIfTrue="1">
      <formula>J7=""</formula>
    </cfRule>
  </conditionalFormatting>
  <conditionalFormatting sqref="AJ9:AJ11 AJ14:AJ16">
    <cfRule type="cellIs" priority="12" dxfId="1" operator="greaterThan" stopIfTrue="1">
      <formula>7</formula>
    </cfRule>
    <cfRule type="cellIs" priority="13" dxfId="7" operator="between" stopIfTrue="1">
      <formula>4</formula>
      <formula>6</formula>
    </cfRule>
    <cfRule type="cellIs" priority="14" dxfId="6" operator="between" stopIfTrue="1">
      <formula>1</formula>
      <formula>3</formula>
    </cfRule>
  </conditionalFormatting>
  <conditionalFormatting sqref="J7:J116">
    <cfRule type="cellIs" priority="15" dxfId="5" operator="equal" stopIfTrue="1">
      <formula>2</formula>
    </cfRule>
  </conditionalFormatting>
  <conditionalFormatting sqref="S7:S116">
    <cfRule type="expression" priority="21" dxfId="0" stopIfTrue="1">
      <formula>K7=""</formula>
    </cfRule>
  </conditionalFormatting>
  <conditionalFormatting sqref="X7:X116">
    <cfRule type="expression" priority="30" dxfId="0" stopIfTrue="1">
      <formula>K7=""</formula>
    </cfRule>
  </conditionalFormatting>
  <conditionalFormatting sqref="Y7:Y116">
    <cfRule type="expression" priority="31" dxfId="1" stopIfTrue="1">
      <formula>ISNA(Z7)</formula>
    </cfRule>
    <cfRule type="expression" priority="32" dxfId="1" stopIfTrue="1">
      <formula>COUNTIF($AJ$9:$AJ$16,7)</formula>
    </cfRule>
    <cfRule type="expression" priority="33" dxfId="0" stopIfTrue="1">
      <formula>J7=""</formula>
    </cfRule>
  </conditionalFormatting>
  <dataValidations count="14">
    <dataValidation allowBlank="1" showInputMessage="1" showErrorMessage="1" imeMode="disabled" sqref="AH14:AH16 AH9:AH11 K7:K116 D7:E116 AB4:AD4 D4"/>
    <dataValidation allowBlank="1" imeMode="disabled" sqref="Q187:Q65536 Q117:Q181 R182:R186 S117:S177 R117:R179 Q6:S6 Q2"/>
    <dataValidation allowBlank="1" prompt="#N/Aは種目選択ミスです" sqref="P7:P116 U7:U116"/>
    <dataValidation allowBlank="1" showErrorMessage="1" prompt="#N/Aの表示は種目選択ミスです" sqref="Z7:Z116"/>
    <dataValidation allowBlank="1" showInputMessage="1" prompt="記録は半角英数字で&#10;例&#10;11秒11→11.11&#10;1分50秒00→1.50.00&#10;15m50→15m50&#10;&#10;" imeMode="disabled" sqref="Q7:S116 V7:X116"/>
    <dataValidation allowBlank="1" showInputMessage="1" showErrorMessage="1" prompt="男は１&#10;女は２" sqref="J7:J116"/>
    <dataValidation allowBlank="1" showInputMessage="1" showErrorMessage="1" imeMode="halfKatakana" sqref="G7:G116"/>
    <dataValidation allowBlank="1" showInputMessage="1" showErrorMessage="1" imeMode="hiragana" sqref="F7:F116 D3 AB1:AD3"/>
    <dataValidation allowBlank="1" showInputMessage="1" showErrorMessage="1" imeMode="halfAlpha" sqref="AA7:AC116"/>
    <dataValidation allowBlank="1" showInputMessage="1" prompt="エラーが出ても無視して下さい" sqref="D2"/>
    <dataValidation type="list" allowBlank="1" showInputMessage="1" showErrorMessage="1" sqref="Y7:Y116">
      <formula1>IF(J7=1,$AD$19:$AD$21,$AD$32:$AD$34)</formula1>
    </dataValidation>
    <dataValidation type="list" allowBlank="1" showInputMessage="1" prompt="松阪地区外は直接入力して下さい" sqref="D1">
      <formula1>$AT$6:$AT$189</formula1>
    </dataValidation>
    <dataValidation type="list" allowBlank="1" showInputMessage="1" showErrorMessage="1" sqref="O7:O116">
      <formula1>IF(J7=1,$AD$7:$AD$18,$AD$22:$AD$31)</formula1>
    </dataValidation>
    <dataValidation type="list" allowBlank="1" showInputMessage="1" showErrorMessage="1" sqref="T7:T116">
      <formula1>IF(J7=1,$AD$7:$AD$18,$AD$22:$AD$31)</formula1>
    </dataValidation>
  </dataValidations>
  <printOptions horizontalCentered="1"/>
  <pageMargins left="0.5905511811023623" right="0.7874015748031497" top="0.984251968503937" bottom="0.984251968503937" header="0.5118110236220472" footer="0.5118110236220472"/>
  <pageSetup fitToHeight="2" fitToWidth="1" horizontalDpi="600" verticalDpi="600" orientation="portrait" paperSize="9" scale="73" r:id="rId2"/>
  <headerFooter alignWithMargins="0">
    <oddHeader>&amp;R&amp;D　&amp;T</oddHeader>
    <oddFooter>&amp;L&amp;P&amp;R三重陸上競技協会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B15"/>
  <sheetViews>
    <sheetView showGridLines="0" zoomScalePageLayoutView="0" workbookViewId="0" topLeftCell="A1">
      <selection activeCell="E25" sqref="E25"/>
    </sheetView>
  </sheetViews>
  <sheetFormatPr defaultColWidth="9.00390625" defaultRowHeight="13.5"/>
  <cols>
    <col min="1" max="1" width="19.75390625" style="16" bestFit="1" customWidth="1"/>
  </cols>
  <sheetData>
    <row r="1" spans="1:2" ht="13.5">
      <c r="A1" s="14">
        <v>100</v>
      </c>
      <c r="B1">
        <v>50</v>
      </c>
    </row>
    <row r="2" spans="1:2" ht="13.5">
      <c r="A2" s="15">
        <v>200</v>
      </c>
      <c r="B2">
        <v>51</v>
      </c>
    </row>
    <row r="3" spans="1:2" ht="13.5">
      <c r="A3" s="15">
        <v>400</v>
      </c>
      <c r="B3">
        <v>52</v>
      </c>
    </row>
    <row r="4" spans="1:2" ht="13.5">
      <c r="A4" s="15">
        <v>800</v>
      </c>
      <c r="B4">
        <v>53</v>
      </c>
    </row>
    <row r="5" spans="1:2" ht="13.5">
      <c r="A5" s="16" t="s">
        <v>52</v>
      </c>
      <c r="B5">
        <v>54</v>
      </c>
    </row>
    <row r="6" spans="1:2" ht="13.5">
      <c r="A6" s="16" t="s">
        <v>53</v>
      </c>
      <c r="B6">
        <v>55</v>
      </c>
    </row>
    <row r="7" spans="1:2" ht="13.5">
      <c r="A7" s="16" t="s">
        <v>54</v>
      </c>
      <c r="B7">
        <v>56</v>
      </c>
    </row>
    <row r="8" spans="1:2" ht="13.5">
      <c r="A8" s="16" t="s">
        <v>27</v>
      </c>
      <c r="B8">
        <v>57</v>
      </c>
    </row>
    <row r="9" spans="1:2" ht="13.5">
      <c r="A9" s="16" t="s">
        <v>28</v>
      </c>
      <c r="B9">
        <v>57</v>
      </c>
    </row>
    <row r="10" spans="1:2" ht="13.5">
      <c r="A10" s="16" t="s">
        <v>29</v>
      </c>
      <c r="B10">
        <v>57</v>
      </c>
    </row>
    <row r="11" spans="1:2" ht="13.5">
      <c r="A11" s="16" t="s">
        <v>47</v>
      </c>
      <c r="B11">
        <v>58</v>
      </c>
    </row>
    <row r="12" spans="1:2" ht="13.5">
      <c r="A12" s="16" t="s">
        <v>55</v>
      </c>
      <c r="B12">
        <v>59</v>
      </c>
    </row>
    <row r="13" spans="1:2" ht="13.5">
      <c r="A13" s="16" t="s">
        <v>10</v>
      </c>
      <c r="B13">
        <v>60</v>
      </c>
    </row>
    <row r="14" spans="1:2" ht="13.5">
      <c r="A14" s="16" t="s">
        <v>252</v>
      </c>
      <c r="B14">
        <v>71</v>
      </c>
    </row>
    <row r="15" spans="1:2" ht="13.5">
      <c r="A15" s="16" t="s">
        <v>278</v>
      </c>
      <c r="B15">
        <v>74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B14"/>
  <sheetViews>
    <sheetView showGridLines="0" zoomScalePageLayoutView="0" workbookViewId="0" topLeftCell="A1">
      <selection activeCell="E18" sqref="E18"/>
    </sheetView>
  </sheetViews>
  <sheetFormatPr defaultColWidth="9.00390625" defaultRowHeight="13.5"/>
  <cols>
    <col min="1" max="1" width="17.50390625" style="16" bestFit="1" customWidth="1"/>
  </cols>
  <sheetData>
    <row r="1" spans="1:2" ht="13.5">
      <c r="A1" s="14">
        <v>100</v>
      </c>
      <c r="B1">
        <v>61</v>
      </c>
    </row>
    <row r="2" spans="1:2" ht="13.5">
      <c r="A2" s="15">
        <v>200</v>
      </c>
      <c r="B2">
        <v>62</v>
      </c>
    </row>
    <row r="3" spans="1:2" ht="13.5">
      <c r="A3" s="15">
        <v>800</v>
      </c>
      <c r="B3">
        <v>63</v>
      </c>
    </row>
    <row r="4" spans="1:2" ht="13.5">
      <c r="A4" s="15" t="s">
        <v>49</v>
      </c>
      <c r="B4">
        <v>64</v>
      </c>
    </row>
    <row r="5" spans="1:2" ht="13.5">
      <c r="A5" s="16" t="s">
        <v>30</v>
      </c>
      <c r="B5">
        <v>65</v>
      </c>
    </row>
    <row r="6" spans="1:2" ht="13.5">
      <c r="A6" s="16" t="s">
        <v>31</v>
      </c>
      <c r="B6">
        <v>65</v>
      </c>
    </row>
    <row r="7" spans="1:2" ht="13.5">
      <c r="A7" s="16" t="s">
        <v>57</v>
      </c>
      <c r="B7">
        <v>65</v>
      </c>
    </row>
    <row r="8" spans="1:2" ht="13.5">
      <c r="A8" s="16" t="s">
        <v>47</v>
      </c>
      <c r="B8">
        <v>66</v>
      </c>
    </row>
    <row r="9" spans="1:2" ht="13.5">
      <c r="A9" s="16" t="s">
        <v>56</v>
      </c>
      <c r="B9">
        <v>67</v>
      </c>
    </row>
    <row r="10" spans="1:2" ht="13.5">
      <c r="A10" s="16" t="s">
        <v>10</v>
      </c>
      <c r="B10">
        <v>68</v>
      </c>
    </row>
    <row r="11" spans="1:2" ht="13.5">
      <c r="A11" s="16" t="s">
        <v>52</v>
      </c>
      <c r="B11">
        <v>69</v>
      </c>
    </row>
    <row r="12" spans="1:2" ht="13.5">
      <c r="A12" s="16" t="s">
        <v>251</v>
      </c>
      <c r="B12">
        <v>70</v>
      </c>
    </row>
    <row r="13" spans="1:2" ht="13.5">
      <c r="A13" s="16" t="s">
        <v>252</v>
      </c>
      <c r="B13">
        <v>72</v>
      </c>
    </row>
    <row r="14" spans="1:2" ht="13.5">
      <c r="A14" s="16" t="s">
        <v>278</v>
      </c>
      <c r="B14">
        <v>73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中学大会申込Ver01</dc:title>
  <dc:subject/>
  <dc:creator>三重陸上競技協会情報処理部</dc:creator>
  <cp:keywords/>
  <dc:description/>
  <cp:lastModifiedBy>NANS21</cp:lastModifiedBy>
  <cp:lastPrinted>2008-03-26T11:54:56Z</cp:lastPrinted>
  <dcterms:created xsi:type="dcterms:W3CDTF">2003-01-04T11:51:22Z</dcterms:created>
  <dcterms:modified xsi:type="dcterms:W3CDTF">2017-05-11T20:49:02Z</dcterms:modified>
  <cp:category/>
  <cp:version/>
  <cp:contentType/>
  <cp:contentStatus/>
</cp:coreProperties>
</file>